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41024/"/>
    </mc:Choice>
  </mc:AlternateContent>
  <xr:revisionPtr revIDLastSave="51" documentId="8_{5F5A87F5-263D-43F4-8035-096B977A2587}" xr6:coauthVersionLast="47" xr6:coauthVersionMax="47" xr10:uidLastSave="{44C5D55B-DB8E-4098-A9F5-82E8CAFDE94F}"/>
  <workbookProtection workbookAlgorithmName="SHA-512" workbookHashValue="YjJC9E6fR/3cSQ1dLJxVfLSmjV/cVqluXsz0L6GLUJT8xXrl1z7ybUog1BitNlWtBXNwrBPXkN/E6DlgHn8C+g==" workbookSaltValue="ECBQsby3h7N7gWo/yzwGq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F143" i="16" l="1"/>
  <c r="H213" i="16"/>
  <c r="H134" i="16"/>
  <c r="H231" i="16"/>
  <c r="H94" i="16"/>
  <c r="H35" i="16"/>
  <c r="H12" i="16"/>
  <c r="H273" i="16"/>
  <c r="H308" i="16"/>
  <c r="H179" i="16"/>
  <c r="H316" i="16"/>
  <c r="H84" i="16"/>
  <c r="H77" i="16"/>
  <c r="H215" i="16"/>
  <c r="F59" i="16"/>
  <c r="H59" i="16"/>
  <c r="F237" i="16"/>
  <c r="H237" i="16"/>
  <c r="F240" i="16"/>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E48" i="8" s="1"/>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B22" i="16" l="1"/>
  <c r="Y22" i="16"/>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R47" i="16" s="1"/>
  <c r="AA327" i="16"/>
  <c r="AB327" i="16" s="1"/>
  <c r="AC16" i="16" l="1"/>
  <c r="AC21" i="16"/>
  <c r="V16" i="16"/>
  <c r="V18" i="16"/>
  <c r="AC15" i="16"/>
  <c r="AC20" i="16"/>
  <c r="AR23" i="16"/>
  <c r="AR43" i="16"/>
  <c r="Z16" i="16"/>
  <c r="Z20" i="16"/>
  <c r="Z15" i="16"/>
  <c r="V20" i="16"/>
  <c r="V15" i="16"/>
  <c r="V30" i="16"/>
  <c r="V12" i="16"/>
  <c r="V21" i="16"/>
  <c r="Z18" i="16"/>
  <c r="Z21" i="16"/>
  <c r="Z17" i="16"/>
  <c r="AC17" i="16"/>
  <c r="AC18" i="16"/>
  <c r="AR50" i="16"/>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P327" i="16"/>
  <c r="O327" i="16"/>
  <c r="L39" i="8"/>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<sst xmlns="http://schemas.openxmlformats.org/spreadsheetml/2006/main" count="9497" uniqueCount="907">
  <si>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</si>
  <si>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</si>
  <si>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</si>
  <si>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</si>
  <si>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</si>
  <si>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</si>
  <si>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</si>
  <si>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</si>
  <si>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</si>
  <si>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</si>
  <si>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</si>
  <si>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</si>
  <si>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</si>
  <si>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</si>
  <si>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</si>
  <si>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</si>
  <si>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</si>
  <si>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</si>
  <si>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</si>
  <si>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</si>
  <si>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</si>
  <si>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</si>
  <si>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</si>
  <si>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</si>
  <si>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</si>
  <si>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</si>
  <si>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</si>
  <si>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</si>
  <si>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</si>
  <si>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</si>
  <si>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</si>
  <si>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</si>
  <si>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</si>
  <si>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</si>
  <si>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</si>
  <si>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</si>
  <si>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</si>
  <si>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</si>
  <si>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</si>
  <si>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</si>
  <si>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</si>
  <si>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</si>
  <si>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</si>
  <si>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</si>
  <si>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</si>
  <si>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</si>
  <si>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</si>
  <si>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</si>
  <si>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</si>
  <si>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</si>
  <si>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</si>
  <si>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</si>
  <si>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</si>
  <si>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</si>
  <si>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</si>
  <si>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</si>
  <si>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</si>
  <si>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</si>
  <si>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</si>
  <si>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</si>
  <si>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</si>
  <si>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</si>
  <si>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</si>
  <si>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</si>
  <si>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</si>
  <si>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</si>
  <si>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</si>
  <si>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</si>
  <si>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</si>
  <si>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</si>
  <si>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</si>
  <si>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</si>
  <si>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</si>
  <si>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</si>
  <si>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</si>
  <si>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</si>
  <si>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</si>
  <si>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</si>
  <si>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</si>
  <si>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</si>
  <si>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</si>
  <si>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</si>
  <si>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</si>
  <si>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</si>
  <si>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</si>
  <si>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</si>
  <si>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</si>
  <si>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</si>
  <si>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</si>
  <si>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</si>
  <si>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</si>
  <si>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</si>
  <si>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</si>
  <si>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</si>
  <si>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</si>
  <si>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</si>
  <si>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</si>
  <si>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</si>
  <si>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</si>
  <si>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</si>
  <si>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</si>
  <si>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</si>
  <si>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</si>
  <si>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</si>
  <si>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</si>
  <si>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</si>
  <si>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</si>
  <si>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</si>
  <si>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</si>
  <si>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</si>
  <si>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</si>
  <si>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</si>
  <si>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</si>
  <si>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</si>
  <si>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</si>
  <si>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</si>
  <si>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</si>
  <si>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</si>
  <si>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</si>
  <si>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</si>
  <si>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</si>
  <si>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</si>
  <si>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</si>
  <si>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</si>
  <si>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</si>
  <si>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</si>
  <si>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</si>
  <si>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</si>
  <si>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</si>
  <si>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</si>
  <si>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</si>
  <si>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</si>
  <si>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</si>
  <si>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</si>
  <si>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</si>
  <si>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</si>
  <si>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</si>
  <si>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</si>
  <si>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</si>
  <si>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</si>
  <si>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</si>
  <si>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</si>
  <si>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</si>
  <si>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</si>
  <si>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</si>
  <si>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</si>
  <si>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</si>
  <si>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</si>
  <si>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</si>
  <si>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</si>
  <si>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</si>
  <si>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</si>
  <si>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</si>
  <si>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</si>
  <si>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</si>
  <si>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</si>
  <si>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</si>
  <si>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</si>
  <si>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</si>
  <si>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</si>
  <si>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</si>
  <si>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</si>
  <si>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</si>
  <si>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</si>
  <si>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</si>
  <si>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</si>
  <si>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</si>
  <si>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</si>
  <si>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</si>
  <si>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</si>
  <si>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</si>
  <si>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</si>
  <si>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</si>
  <si>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</si>
  <si>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</si>
  <si>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</si>
  <si>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</si>
  <si>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</si>
  <si>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</si>
  <si>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</si>
  <si>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</si>
  <si>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</si>
  <si>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</si>
  <si>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</si>
  <si>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</si>
  <si>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</si>
  <si>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</si>
  <si>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</si>
  <si>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</si>
  <si>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</si>
  <si>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</si>
  <si>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</si>
  <si>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</si>
  <si>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</si>
  <si>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</si>
  <si>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</si>
  <si>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</si>
  <si>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</si>
  <si>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</si>
  <si>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</si>
  <si>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</si>
  <si>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</si>
  <si>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</si>
  <si>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</si>
  <si>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</si>
  <si>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</si>
  <si>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</si>
  <si>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</si>
  <si>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</si>
  <si>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</si>
  <si>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</si>
  <si>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</si>
  <si>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</si>
  <si>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</si>
  <si>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</si>
  <si>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</si>
  <si>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</si>
  <si>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</si>
  <si>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</si>
  <si>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</si>
  <si>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</si>
  <si>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</si>
  <si>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</si>
  <si>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</si>
  <si>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</si>
  <si>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</si>
  <si>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</si>
  <si>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</si>
  <si>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</si>
  <si>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</si>
  <si>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</si>
  <si>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</si>
  <si>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</si>
  <si>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</si>
  <si>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</si>
  <si>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</si>
  <si>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</si>
  <si>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</si>
  <si>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</si>
  <si>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</si>
  <si>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</si>
  <si>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</si>
  <si>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</si>
  <si>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</si>
  <si>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</si>
  <si>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</si>
  <si>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</si>
  <si>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</si>
  <si>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</si>
  <si>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</si>
  <si>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</si>
  <si>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</si>
  <si>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</si>
  <si>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</si>
  <si>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</si>
  <si>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</si>
  <si>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</si>
  <si>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</si>
  <si>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</si>
  <si>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</si>
  <si>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</si>
  <si>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</si>
  <si>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</si>
  <si>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</si>
  <si>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</si>
  <si>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</si>
  <si>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</si>
  <si>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</si>
  <si>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</si>
  <si>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</si>
  <si>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</si>
  <si>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</si>
  <si>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</si>
  <si>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</si>
  <si>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</si>
  <si>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</si>
  <si>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</si>
  <si>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</si>
  <si>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</si>
  <si>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</si>
  <si>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</si>
  <si>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</si>
  <si>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</si>
  <si>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</si>
  <si>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</si>
  <si>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</si>
  <si>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</si>
  <si>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</si>
  <si>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</si>
  <si>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</si>
  <si>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</si>
  <si>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</si>
  <si>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</si>
  <si>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</si>
  <si>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</si>
  <si>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</si>
  <si>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</si>
  <si>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</si>
  <si>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</si>
  <si>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</si>
  <si>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</si>
  <si>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</si>
  <si>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</si>
  <si>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</si>
  <si>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</si>
  <si>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</si>
  <si>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</si>
  <si>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</si>
  <si>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</si>
  <si>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</si>
  <si>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</si>
  <si>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</si>
  <si>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</si>
  <si>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</si>
  <si>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</si>
  <si>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</si>
  <si>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</si>
  <si>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</si>
  <si>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</si>
  <si>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</si>
  <si>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</si>
  <si>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</si>
  <si>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</si>
  <si>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</si>
  <si>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</si>
  <si>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</si>
  <si>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</si>
  <si>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</si>
  <si>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</si>
  <si>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</si>
  <si>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</si>
  <si>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</si>
  <si>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</si>
  <si>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</si>
  <si>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</si>
  <si>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</si>
  <si>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</si>
  <si>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</si>
  <si>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</si>
  <si>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</si>
  <si>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</si>
  <si>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</si>
  <si>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</si>
  <si>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</si>
  <si>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</si>
  <si>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</si>
  <si>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</si>
  <si>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</si>
  <si>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</si>
  <si>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</si>
  <si>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</si>
  <si>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</si>
  <si>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</si>
  <si>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</si>
  <si>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</si>
  <si>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</si>
  <si>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</si>
  <si>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</si>
  <si>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</si>
  <si>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</si>
  <si>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</si>
  <si>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</si>
  <si>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</si>
  <si>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</si>
  <si>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</si>
  <si>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</si>
  <si>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</si>
  <si>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</si>
  <si>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</si>
  <si>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</si>
  <si>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</si>
  <si>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</si>
  <si>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</si>
  <si>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</si>
  <si>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</si>
  <si>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</si>
  <si>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</si>
  <si>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</si>
  <si>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</si>
  <si>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</si>
  <si>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</si>
  <si>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</si>
  <si>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</si>
  <si>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</si>
  <si>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</si>
  <si>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</si>
  <si>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</si>
  <si>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</si>
  <si>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</si>
  <si>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</si>
  <si>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</si>
  <si>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</si>
  <si>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</si>
  <si>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</si>
  <si>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</si>
  <si>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</si>
  <si>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</si>
  <si>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</si>
  <si>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</si>
  <si>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</si>
  <si>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</si>
  <si>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</si>
  <si>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</si>
  <si>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</si>
  <si>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</si>
  <si>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</si>
  <si>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</si>
  <si>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</si>
  <si>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</si>
  <si>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</si>
  <si>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</si>
  <si>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</si>
  <si>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</si>
  <si>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</si>
  <si>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</si>
  <si>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</si>
  <si>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</si>
  <si>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</si>
  <si>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</si>
  <si>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</si>
  <si>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</si>
  <si>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</si>
  <si>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</si>
  <si>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</si>
  <si>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</si>
  <si>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</si>
  <si>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</si>
  <si>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</si>
  <si>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</si>
  <si>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</si>
  <si>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</si>
  <si>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</si>
  <si>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</si>
  <si>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</si>
  <si>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</si>
  <si>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</si>
  <si>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</si>
  <si>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</si>
  <si>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</si>
  <si>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</si>
  <si>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</si>
  <si>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</si>
  <si>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</si>
  <si>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</si>
  <si>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</si>
  <si>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</si>
  <si>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</si>
  <si>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</si>
  <si>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</si>
  <si>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</si>
  <si>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</si>
  <si>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</si>
  <si>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</si>
  <si>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</si>
  <si>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</si>
  <si>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</si>
  <si>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</si>
  <si>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</si>
  <si>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</si>
  <si>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</si>
  <si>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</si>
  <si>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</si>
  <si>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</si>
  <si>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</si>
  <si>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</si>
  <si>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</si>
  <si>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</si>
  <si>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</si>
  <si>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</si>
  <si>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</si>
  <si>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</si>
  <si>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</si>
  <si>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</si>
  <si>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</si>
  <si>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</si>
  <si>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</si>
  <si>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</si>
  <si>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</si>
  <si>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</si>
  <si>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</si>
  <si>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</si>
  <si>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</si>
  <si>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</si>
  <si>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</si>
  <si>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</si>
  <si>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</si>
  <si>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</si>
  <si>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</si>
  <si>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</si>
  <si>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</si>
  <si>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</si>
  <si>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</si>
  <si>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</si>
  <si>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</si>
  <si>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</si>
  <si>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</si>
  <si>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</si>
  <si>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</si>
  <si>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</si>
  <si>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</si>
  <si>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</si>
  <si>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</si>
  <si>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</si>
  <si>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</si>
  <si>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</si>
  <si>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</si>
  <si>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</si>
  <si>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</si>
  <si>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</si>
  <si>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</si>
  <si>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</si>
  <si>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</si>
  <si>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</si>
  <si>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</si>
  <si>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</si>
  <si>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</si>
  <si>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</si>
  <si>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</si>
  <si>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</si>
  <si>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</si>
  <si>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</si>
  <si>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</si>
  <si>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</si>
  <si>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</si>
  <si>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</si>
  <si>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</si>
  <si>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</si>
  <si>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</si>
  <si>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</si>
  <si>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</si>
  <si>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</si>
  <si>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</si>
  <si>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</si>
  <si>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</si>
  <si>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</si>
  <si>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</si>
  <si>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</si>
  <si>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</si>
  <si>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</si>
  <si>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</si>
  <si>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</si>
  <si>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</si>
  <si>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</si>
  <si>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</si>
  <si>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</si>
  <si>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</si>
  <si>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</si>
  <si>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</si>
  <si>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</si>
  <si>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</si>
  <si>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</si>
  <si>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</si>
  <si>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</si>
  <si>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</si>
  <si>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</si>
  <si>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</si>
  <si>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</si>
  <si>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</si>
  <si>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</si>
  <si>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</si>
  <si>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</si>
  <si>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</si>
  <si>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</si>
  <si>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</si>
  <si>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</si>
  <si>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</si>
  <si>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</si>
  <si>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</si>
  <si>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</si>
  <si>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</si>
  <si>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</si>
  <si>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</si>
  <si>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</si>
  <si>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</si>
  <si>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</si>
  <si>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</si>
  <si>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</si>
  <si>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</si>
  <si>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</si>
  <si>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</si>
  <si>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</si>
  <si>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</si>
  <si>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</si>
  <si>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</si>
  <si>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</si>
  <si>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</si>
  <si>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</si>
  <si>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</si>
  <si>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</si>
  <si>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</si>
  <si>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</si>
  <si>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</si>
  <si>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</si>
  <si>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</si>
  <si>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</si>
  <si>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</si>
  <si>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</si>
  <si>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</si>
  <si>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</si>
  <si>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</si>
  <si>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</si>
  <si>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</si>
  <si>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</si>
  <si>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</si>
  <si>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</si>
  <si>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</si>
  <si>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</si>
  <si>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</si>
  <si>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</si>
  <si>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</si>
  <si>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</si>
  <si>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</si>
  <si>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</si>
  <si>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</si>
  <si>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</si>
  <si>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</si>
  <si>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</si>
  <si>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</si>
  <si>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</si>
  <si>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</si>
  <si>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</si>
  <si>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</si>
  <si>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</si>
  <si>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</si>
  <si>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</si>
  <si>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</si>
  <si>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</si>
  <si>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</si>
  <si>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</si>
  <si>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</si>
  <si>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</si>
  <si>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</si>
  <si>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</si>
  <si>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</si>
  <si>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</si>
  <si>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</si>
  <si>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</si>
  <si>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</si>
  <si>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</si>
  <si>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</si>
  <si>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</si>
  <si>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</si>
  <si>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</si>
  <si>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</si>
  <si>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</si>
  <si>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</si>
  <si>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</si>
  <si>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</si>
  <si>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</si>
  <si>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</si>
  <si>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</si>
  <si>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</si>
  <si>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</si>
  <si>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</si>
  <si>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</si>
  <si>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</si>
  <si>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</si>
  <si>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</si>
  <si>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</si>
  <si>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</si>
  <si>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</si>
  <si>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</si>
  <si>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</si>
  <si>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</si>
  <si>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</si>
  <si>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</si>
  <si>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</si>
  <si>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</si>
  <si>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</si>
  <si>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</si>
  <si>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</si>
  <si>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</si>
  <si>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</si>
  <si>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</si>
  <si>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</si>
  <si>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</si>
  <si>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</si>
  <si>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</si>
  <si>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</si>
  <si>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</si>
  <si>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</si>
  <si>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</si>
  <si>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</si>
  <si>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</si>
  <si>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</si>
  <si>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</si>
  <si>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</si>
  <si>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</si>
  <si>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</si>
  <si>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</si>
  <si>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</si>
  <si>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</si>
  <si>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</si>
  <si>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</si>
  <si>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</si>
  <si>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</si>
  <si>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</si>
  <si>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</si>
  <si>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</si>
  <si>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</si>
  <si>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</si>
  <si>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</si>
  <si>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</si>
  <si>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</si>
  <si>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</si>
  <si>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</si>
  <si>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</si>
  <si>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</si>
  <si>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</si>
  <si>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</si>
  <si>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</si>
  <si>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</si>
  <si>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</si>
  <si>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</si>
  <si>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</si>
  <si>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</si>
  <si>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</si>
  <si>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</si>
  <si>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</si>
  <si>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</si>
  <si>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</si>
  <si>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</si>
  <si>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</si>
  <si>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</si>
  <si>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</si>
  <si>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</si>
  <si>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</si>
  <si>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</si>
  <si>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</si>
  <si>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</si>
  <si>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</si>
  <si>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</si>
  <si>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</si>
  <si>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</si>
  <si>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</si>
  <si>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</si>
  <si>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</si>
  <si>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</si>
  <si>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</si>
  <si>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</si>
  <si>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</si>
  <si>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</si>
  <si>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</si>
  <si>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</si>
  <si>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</si>
  <si>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</si>
  <si>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</si>
  <si>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</si>
  <si>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</si>
  <si>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</si>
  <si>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</si>
  <si>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</si>
  <si>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</si>
  <si>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</si>
  <si>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</si>
  <si>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</si>
  <si>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</si>
  <si>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</si>
  <si>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</si>
  <si>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</si>
  <si>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</si>
  <si>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</si>
  <si>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</si>
  <si>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</si>
  <si>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</si>
  <si>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</si>
  <si>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</si>
  <si>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</si>
  <si>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</si>
  <si>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</si>
  <si>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</si>
  <si>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</si>
  <si>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</si>
  <si>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</si>
  <si>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</si>
  <si>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</si>
  <si>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</si>
  <si>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</si>
  <si>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</si>
  <si>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</si>
  <si>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</si>
  <si>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</si>
  <si>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</si>
  <si>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</si>
  <si>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</si>
  <si>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</si>
  <si>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</si>
  <si>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</si>
  <si>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</si>
  <si>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</si>
  <si>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</si>
  <si>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</si>
  <si>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</si>
  <si>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</si>
  <si>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</si>
  <si>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</si>
  <si>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</si>
  <si>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</si>
  <si>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</si>
  <si>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</si>
  <si>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</si>
  <si>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</si>
  <si>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</si>
  <si>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</si>
  <si>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</si>
  <si>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</si>
  <si>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</si>
  <si>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</si>
  <si>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</si>
  <si>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</si>
  <si>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</si>
  <si>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</si>
  <si>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</si>
  <si>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</si>
  <si>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</si>
  <si>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</si>
  <si>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</si>
  <si>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</si>
  <si>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</si>
  <si>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</si>
  <si>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</si>
  <si>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</si>
  <si>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</si>
  <si>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</si>
  <si>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</si>
  <si>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</si>
  <si>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</si>
  <si>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</si>
  <si>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</si>
  <si>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</si>
  <si>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</si>
  <si>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</si>
  <si>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</si>
  <si>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</si>
  <si>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</si>
  <si>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</si>
  <si>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</si>
  <si>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</si>
  <si>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</si>
  <si>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</si>
  <si>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</si>
  <si>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</si>
  <si>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</si>
  <si>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</si>
  <si>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</si>
  <si>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</si>
  <si>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</si>
  <si>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</si>
  <si>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</si>
  <si>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</si>
  <si>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</si>
  <si>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</si>
  <si>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</si>
  <si>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</si>
  <si>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</si>
  <si>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</si>
  <si>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</si>
  <si>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</si>
  <si>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</si>
  <si>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</si>
  <si>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</si>
  <si>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</si>
  <si>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</si>
  <si>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</si>
  <si>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</si>
  <si>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</si>
  <si>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</si>
  <si>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</si>
  <si>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</si>
  <si>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</si>
  <si>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</si>
  <si>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</si>
  <si>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</si>
  <si>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</si>
  <si>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</si>
  <si>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</si>
  <si>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</si>
  <si>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</si>
  <si>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</si>
  <si>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</si>
  <si>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</si>
  <si>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</si>
  <si>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</si>
  <si>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</si>
  <si>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</si>
  <si>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</si>
  <si>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</si>
  <si>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</si>
  <si>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</si>
  <si>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</si>
  <si>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</si>
  <si>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</si>
  <si>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</si>
  <si>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</si>
  <si>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</si>
  <si>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</si>
  <si>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</si>
  <si>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</si>
  <si>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Speed of Processing</t>
  </si>
  <si>
    <t>Housing Benefit - New Claims</t>
  </si>
  <si>
    <t>Housing Benefit - Change of Circumstances</t>
  </si>
  <si>
    <t>Q1 2023/24</t>
  </si>
  <si>
    <t>Q2 2023/24</t>
  </si>
  <si>
    <t>A</t>
  </si>
  <si>
    <t>Source: Official Statistics, DWP</t>
  </si>
  <si>
    <t>Q3 2023/24</t>
  </si>
  <si>
    <t>Q4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</si>
</sst>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7">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6" xfId="60" applyFont="1" applyBorder="1" applyProtection="1">
      <protection locked="0"/>
    </xf>
    <xf numFmtId="0" fontId="0" fillId="0" borderId="0" xfId="0" applyAlignment="1">
      <alignment horizontal="left"/>
    </xf>
    <xf numFmtId="0" fontId="25" fillId="0" borderId="0" xfId="0" applyFont="1" applyAlignment="1">
      <alignment horizontal="left"/>
    </xf>
    <xf numFmtId="0" fontId="0" fillId="0" borderId="0" xfId="0" applyAlignment="1">
      <alignment horizontal="center"/>
    </xf>
    <xf numFmtId="2" fontId="25" fillId="0" borderId="0" xfId="4" applyNumberFormat="1" applyFont="1" applyAlignment="1">
      <alignment horizontal="right"/>
    </xf>
    <xf numFmtId="0" fontId="40" fillId="23" borderId="0" xfId="0" applyFont="1" applyFill="1" applyAlignment="1">
      <alignment horizontal="center" vertical="center"/>
    </xf>
    <xf numFmtId="2" fontId="0" fillId="0" borderId="0" xfId="52" applyNumberFormat="1" applyFont="1" applyAlignment="1">
      <alignment horizontal="center"/>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2" fillId="23" borderId="0" xfId="0" quotePrefix="1" applyFont="1" applyFill="1" applyAlignment="1">
      <alignment horizontal="center"/>
    </xf>
    <xf numFmtId="0" fontId="25" fillId="0" borderId="0" xfId="0" applyFont="1" applyAlignment="1">
      <alignment horizontal="center"/>
    </xf>
    <xf numFmtId="2" fontId="25" fillId="0" borderId="0" xfId="4" applyNumberFormat="1" applyFont="1" applyAlignment="1">
      <alignment horizontal="center"/>
    </xf>
    <xf numFmtId="1" fontId="0" fillId="0" borderId="0" xfId="0" applyNumberFormat="1" applyAlignment="1">
      <alignment horizontal="center"/>
    </xf>
    <xf numFmtId="0" fontId="56" fillId="23" borderId="0" xfId="0" applyFont="1" applyFill="1" applyAlignment="1">
      <alignment horizontal="center" vertical="center"/>
    </xf>
    <xf numFmtId="0" fontId="37" fillId="0" borderId="0" xfId="0" applyFont="1" applyAlignment="1">
      <alignment horizont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0" fontId="38" fillId="5" borderId="4" xfId="0" applyFont="1" applyFill="1" applyBorder="1" applyAlignment="1">
      <alignment horizontal="center"/>
    </xf>
    <xf numFmtId="43" fontId="24"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43" fontId="24" fillId="0" borderId="14" xfId="54" applyFont="1" applyBorder="1" applyAlignment="1">
      <alignment horizontal="center"/>
    </xf>
    <xf numFmtId="0" fontId="27" fillId="2" borderId="4" xfId="0" applyFont="1" applyFill="1" applyBorder="1" applyAlignment="1">
      <alignment horizontal="center"/>
    </xf>
    <xf numFmtId="1" fontId="26" fillId="0" borderId="4" xfId="4" applyNumberFormat="1" applyFont="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7"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5" fillId="21" borderId="0" xfId="4" applyNumberFormat="1" applyFont="1" applyFill="1" applyAlignment="1">
      <alignment horizontal="center"/>
    </xf>
    <xf numFmtId="0" fontId="25"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1"/>
                <c:pt idx="30">
                  <c:v>u</c:v>
                </c:pt>
              </c:strCache>
            </c:strRef>
          </c:cat>
          <c:val>
            <c:numRef>
              <c:f>[0]!TopQuart</c:f>
              <c:numCache>
                <c:formatCode>General</c:formatCode>
                <c:ptCount val="62"/>
                <c:pt idx="0">
                  <c:v>6</c:v>
                </c:pt>
                <c:pt idx="1">
                  <c:v>7</c:v>
                </c:pt>
                <c:pt idx="2">
                  <c:v>8</c:v>
                </c:pt>
                <c:pt idx="3">
                  <c:v>10</c:v>
                </c:pt>
                <c:pt idx="4">
                  <c:v>11</c:v>
                </c:pt>
                <c:pt idx="5">
                  <c:v>11</c:v>
                </c:pt>
                <c:pt idx="6">
                  <c:v>12</c:v>
                </c:pt>
                <c:pt idx="7">
                  <c:v>12</c:v>
                </c:pt>
                <c:pt idx="8">
                  <c:v>12</c:v>
                </c:pt>
                <c:pt idx="9">
                  <c:v>13</c:v>
                </c:pt>
                <c:pt idx="10">
                  <c:v>13</c:v>
                </c:pt>
                <c:pt idx="11">
                  <c:v>13</c:v>
                </c:pt>
                <c:pt idx="12">
                  <c:v>13</c:v>
                </c:pt>
                <c:pt idx="13">
                  <c:v>13</c:v>
                </c:pt>
                <c:pt idx="14">
                  <c:v>14</c:v>
                </c:pt>
                <c:pt idx="15">
                  <c:v>14</c:v>
                </c:pt>
                <c:pt idx="16">
                  <c:v>14</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1"/>
                <c:pt idx="30">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15</c:v>
                </c:pt>
                <c:pt idx="18">
                  <c:v>15</c:v>
                </c:pt>
                <c:pt idx="19">
                  <c:v>15</c:v>
                </c:pt>
                <c:pt idx="20">
                  <c:v>15</c:v>
                </c:pt>
                <c:pt idx="21">
                  <c:v>15</c:v>
                </c:pt>
                <c:pt idx="22">
                  <c:v>17</c:v>
                </c:pt>
                <c:pt idx="23">
                  <c:v>17</c:v>
                </c:pt>
                <c:pt idx="24">
                  <c:v>18</c:v>
                </c:pt>
                <c:pt idx="25">
                  <c:v>19</c:v>
                </c:pt>
                <c:pt idx="26">
                  <c:v>19</c:v>
                </c:pt>
                <c:pt idx="27">
                  <c:v>19</c:v>
                </c:pt>
                <c:pt idx="28">
                  <c:v>19</c:v>
                </c:pt>
                <c:pt idx="29">
                  <c:v>19</c:v>
                </c:pt>
                <c:pt idx="30">
                  <c:v>20</c:v>
                </c:pt>
                <c:pt idx="31">
                  <c:v>20</c:v>
                </c:pt>
                <c:pt idx="32">
                  <c:v>20</c:v>
                </c:pt>
                <c:pt idx="33">
                  <c:v>20</c:v>
                </c:pt>
                <c:pt idx="34">
                  <c:v>20</c:v>
                </c:pt>
                <c:pt idx="35">
                  <c:v>20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1"/>
                <c:pt idx="30">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21</c:v>
                </c:pt>
                <c:pt idx="37">
                  <c:v>21</c:v>
                </c:pt>
                <c:pt idx="38">
                  <c:v>21</c:v>
                </c:pt>
                <c:pt idx="39">
                  <c:v>22</c:v>
                </c:pt>
                <c:pt idx="40">
                  <c:v>22</c:v>
                </c:pt>
                <c:pt idx="41">
                  <c:v>22</c:v>
                </c:pt>
                <c:pt idx="42">
                  <c:v>23</c:v>
                </c:pt>
                <c:pt idx="43">
                  <c:v>23</c:v>
                </c:pt>
                <c:pt idx="44">
                  <c:v>24</c:v>
                </c:pt>
                <c:pt idx="45">
                  <c:v>24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1"/>
                <c:pt idx="30">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25</c:v>
                </c:pt>
                <c:pt idx="47">
                  <c:v>25</c:v>
                </c:pt>
                <c:pt idx="48">
                  <c:v>25</c:v>
                </c:pt>
                <c:pt idx="49">
                  <c:v>25</c:v>
                </c:pt>
                <c:pt idx="50">
                  <c:v>26</c:v>
                </c:pt>
                <c:pt idx="51">
                  <c:v>26</c:v>
                </c:pt>
                <c:pt idx="52">
                  <c:v>26</c:v>
                </c:pt>
                <c:pt idx="53">
                  <c:v>27</c:v>
                </c:pt>
                <c:pt idx="54">
                  <c:v>27</c:v>
                </c:pt>
                <c:pt idx="55">
                  <c:v>28</c:v>
                </c:pt>
                <c:pt idx="56">
                  <c:v>29</c:v>
                </c:pt>
                <c:pt idx="57">
                  <c:v>30</c:v>
                </c:pt>
                <c:pt idx="58">
                  <c:v>32</c:v>
                </c:pt>
                <c:pt idx="59">
                  <c:v>33</c:v>
                </c:pt>
                <c:pt idx="60">
                  <c:v>35</c:v>
                </c:pt>
                <c:pt idx="61">
                  <c:v>48</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1"/>
                <c:pt idx="30">
                  <c:v>u</c:v>
                </c:pt>
              </c:strCache>
            </c:strRef>
          </c:cat>
          <c:val>
            <c:numRef>
              <c:f>[0]!MarkData</c:f>
              <c:numCache>
                <c:formatCode>0.00</c:formatCode>
                <c:ptCount val="62"/>
                <c:pt idx="0">
                  <c:v>6</c:v>
                </c:pt>
                <c:pt idx="1">
                  <c:v>7</c:v>
                </c:pt>
                <c:pt idx="2">
                  <c:v>8</c:v>
                </c:pt>
                <c:pt idx="3">
                  <c:v>10</c:v>
                </c:pt>
                <c:pt idx="4">
                  <c:v>11</c:v>
                </c:pt>
                <c:pt idx="5">
                  <c:v>11</c:v>
                </c:pt>
                <c:pt idx="6">
                  <c:v>12</c:v>
                </c:pt>
                <c:pt idx="7">
                  <c:v>12</c:v>
                </c:pt>
                <c:pt idx="8">
                  <c:v>12</c:v>
                </c:pt>
                <c:pt idx="9">
                  <c:v>13</c:v>
                </c:pt>
                <c:pt idx="10">
                  <c:v>13</c:v>
                </c:pt>
                <c:pt idx="11">
                  <c:v>13</c:v>
                </c:pt>
                <c:pt idx="12">
                  <c:v>13</c:v>
                </c:pt>
                <c:pt idx="13">
                  <c:v>13</c:v>
                </c:pt>
                <c:pt idx="14">
                  <c:v>14</c:v>
                </c:pt>
                <c:pt idx="15">
                  <c:v>14</c:v>
                </c:pt>
                <c:pt idx="16">
                  <c:v>14</c:v>
                </c:pt>
                <c:pt idx="17">
                  <c:v>15</c:v>
                </c:pt>
                <c:pt idx="18">
                  <c:v>15</c:v>
                </c:pt>
                <c:pt idx="19">
                  <c:v>15</c:v>
                </c:pt>
                <c:pt idx="20">
                  <c:v>15</c:v>
                </c:pt>
                <c:pt idx="21">
                  <c:v>15</c:v>
                </c:pt>
                <c:pt idx="22">
                  <c:v>17</c:v>
                </c:pt>
                <c:pt idx="23">
                  <c:v>17</c:v>
                </c:pt>
                <c:pt idx="24">
                  <c:v>18</c:v>
                </c:pt>
                <c:pt idx="25">
                  <c:v>19</c:v>
                </c:pt>
                <c:pt idx="26">
                  <c:v>19</c:v>
                </c:pt>
                <c:pt idx="27">
                  <c:v>19</c:v>
                </c:pt>
                <c:pt idx="28">
                  <c:v>19</c:v>
                </c:pt>
                <c:pt idx="29">
                  <c:v>19</c:v>
                </c:pt>
                <c:pt idx="30">
                  <c:v>20</c:v>
                </c:pt>
                <c:pt idx="31">
                  <c:v>20</c:v>
                </c:pt>
                <c:pt idx="32">
                  <c:v>20</c:v>
                </c:pt>
                <c:pt idx="33">
                  <c:v>20</c:v>
                </c:pt>
                <c:pt idx="34">
                  <c:v>20</c:v>
                </c:pt>
                <c:pt idx="35">
                  <c:v>20</c:v>
                </c:pt>
                <c:pt idx="36">
                  <c:v>21</c:v>
                </c:pt>
                <c:pt idx="37">
                  <c:v>21</c:v>
                </c:pt>
                <c:pt idx="38">
                  <c:v>21</c:v>
                </c:pt>
                <c:pt idx="39">
                  <c:v>22</c:v>
                </c:pt>
                <c:pt idx="40">
                  <c:v>22</c:v>
                </c:pt>
                <c:pt idx="41">
                  <c:v>22</c:v>
                </c:pt>
                <c:pt idx="42">
                  <c:v>23</c:v>
                </c:pt>
                <c:pt idx="43">
                  <c:v>23</c:v>
                </c:pt>
                <c:pt idx="44">
                  <c:v>24</c:v>
                </c:pt>
                <c:pt idx="45">
                  <c:v>24</c:v>
                </c:pt>
                <c:pt idx="46">
                  <c:v>25</c:v>
                </c:pt>
                <c:pt idx="47">
                  <c:v>25</c:v>
                </c:pt>
                <c:pt idx="48">
                  <c:v>25</c:v>
                </c:pt>
                <c:pt idx="49">
                  <c:v>25</c:v>
                </c:pt>
                <c:pt idx="50">
                  <c:v>26</c:v>
                </c:pt>
                <c:pt idx="51">
                  <c:v>26</c:v>
                </c:pt>
                <c:pt idx="52">
                  <c:v>26</c:v>
                </c:pt>
                <c:pt idx="53">
                  <c:v>27</c:v>
                </c:pt>
                <c:pt idx="54">
                  <c:v>27</c:v>
                </c:pt>
                <c:pt idx="55">
                  <c:v>28</c:v>
                </c:pt>
                <c:pt idx="56">
                  <c:v>29</c:v>
                </c:pt>
                <c:pt idx="57">
                  <c:v>30</c:v>
                </c:pt>
                <c:pt idx="58">
                  <c:v>32</c:v>
                </c:pt>
                <c:pt idx="59">
                  <c:v>33</c:v>
                </c:pt>
                <c:pt idx="60">
                  <c:v>35</c:v>
                </c:pt>
                <c:pt idx="61">
                  <c:v>48</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20</c:v>
                </c:pt>
                <c:pt idx="1">
                  <c:v>19.806451612903224</c:v>
                </c:pt>
                <c:pt idx="2">
                  <c:v>20.25</c:v>
                </c:pt>
                <c:pt idx="3">
                  <c:v>21.565217391304348</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24.75</c:v>
                </c:pt>
                <c:pt idx="1">
                  <c:v>24.75</c:v>
                </c:pt>
                <c:pt idx="2">
                  <c:v>24.75</c:v>
                </c:pt>
                <c:pt idx="3">
                  <c:v>24.75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20</c:v>
                </c:pt>
                <c:pt idx="1">
                  <c:v>20.399999999999999</c:v>
                </c:pt>
                <c:pt idx="2">
                  <c:v>18.833333333333332</c:v>
                </c:pt>
                <c:pt idx="3">
                  <c:v>22.181818181818183</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24.75</c:v>
                </c:pt>
                <c:pt idx="1">
                  <c:v>24.75</c:v>
                </c:pt>
                <c:pt idx="2">
                  <c:v>24.75</c:v>
                </c:pt>
                <c:pt idx="3">
                  <c:v>24.75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49" t="str">
        <f>VLOOKUP('Filtered Data'!D1,'Filtered Data'!L1:O6,3,FALSE)</f>
        <v>Unitary</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row>
    <row r="2" spans="2:40"/>
    <row r="3" spans="2:40" ht="19.5" customHeight="1">
      <c r="B3" s="272" t="str">
        <f>Data!B3</f>
        <v>Speed of Processing</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row>
    <row r="4" spans="2:40">
      <c r="D4" s="3"/>
      <c r="E4" s="3"/>
    </row>
    <row r="5" spans="2:40" ht="15.75" customHeight="1">
      <c r="B5" s="300" t="s">
        <v>334</v>
      </c>
      <c r="C5" s="300"/>
      <c r="D5" s="300"/>
      <c r="E5" s="300"/>
      <c r="J5" s="303" t="s">
        <v>304</v>
      </c>
      <c r="K5" s="303"/>
      <c r="L5" s="303"/>
      <c r="M5" s="303"/>
      <c r="N5" s="303"/>
      <c r="O5" s="303"/>
      <c r="P5" s="303"/>
      <c r="Q5" s="303"/>
      <c r="R5" s="303"/>
      <c r="S5" s="303"/>
      <c r="W5" s="279" t="s">
        <v>361</v>
      </c>
      <c r="X5" s="280"/>
      <c r="Y5" s="280"/>
      <c r="Z5" s="280"/>
      <c r="AA5" s="280"/>
      <c r="AB5" s="280"/>
      <c r="AC5" s="280"/>
      <c r="AD5" s="280"/>
      <c r="AE5" s="280"/>
      <c r="AF5" s="280"/>
      <c r="AG5" s="280"/>
      <c r="AH5" s="280"/>
      <c r="AI5" s="280"/>
      <c r="AJ5" s="280"/>
      <c r="AK5" s="280"/>
      <c r="AL5" s="280"/>
      <c r="AM5" s="281"/>
    </row>
    <row r="6" spans="2:40" ht="17.25" customHeight="1">
      <c r="J6" s="303"/>
      <c r="K6" s="303"/>
      <c r="L6" s="303"/>
      <c r="M6" s="303"/>
      <c r="N6" s="303"/>
      <c r="O6" s="303"/>
      <c r="P6" s="303"/>
      <c r="Q6" s="303"/>
      <c r="R6" s="303"/>
      <c r="S6" s="303"/>
      <c r="W6" s="282" t="s">
        <v>899</v>
      </c>
      <c r="X6" s="283"/>
      <c r="Y6" s="283"/>
      <c r="Z6" s="283"/>
      <c r="AA6" s="283"/>
      <c r="AB6" s="283"/>
      <c r="AC6" s="283"/>
      <c r="AD6" s="283"/>
      <c r="AE6" s="283"/>
      <c r="AF6" s="283"/>
      <c r="AG6" s="283"/>
      <c r="AH6" s="283"/>
      <c r="AI6" s="283"/>
      <c r="AJ6" s="283"/>
      <c r="AK6" s="283"/>
      <c r="AL6" s="283"/>
      <c r="AM6" s="284"/>
    </row>
    <row r="7" spans="2:40" ht="12.75" customHeight="1">
      <c r="W7" s="282"/>
      <c r="X7" s="283"/>
      <c r="Y7" s="283"/>
      <c r="Z7" s="283"/>
      <c r="AA7" s="283"/>
      <c r="AB7" s="283"/>
      <c r="AC7" s="283"/>
      <c r="AD7" s="283"/>
      <c r="AE7" s="283"/>
      <c r="AF7" s="283"/>
      <c r="AG7" s="283"/>
      <c r="AH7" s="283"/>
      <c r="AI7" s="283"/>
      <c r="AJ7" s="283"/>
      <c r="AK7" s="283"/>
      <c r="AL7" s="283"/>
      <c r="AM7" s="284"/>
    </row>
    <row r="8" spans="2:40" ht="12.75" customHeight="1">
      <c r="B8" s="233" t="str">
        <f>IF('Filtered Data'!D1="L","County:","Type of Authority:")</f>
        <v>Type of Authority:</v>
      </c>
      <c r="C8" s="304"/>
      <c r="D8" s="304"/>
      <c r="E8" s="304"/>
      <c r="F8" s="304"/>
      <c r="G8" s="304"/>
      <c r="H8" s="304"/>
      <c r="I8" s="304"/>
      <c r="J8" s="3" t="str">
        <f>IF('Filtered Data'!D1="L",'Filtered Data'!I3,VLOOKUP('Filtered Data'!D1,'Filtered Data'!L1:O5,3,FALSE))</f>
        <v>Unitary</v>
      </c>
      <c r="K8" s="3"/>
      <c r="L8" s="3"/>
      <c r="M8" s="3"/>
      <c r="N8" s="3"/>
      <c r="O8" s="3"/>
      <c r="P8" s="3"/>
      <c r="Q8" s="3"/>
      <c r="R8" s="3"/>
      <c r="W8" s="282"/>
      <c r="X8" s="283"/>
      <c r="Y8" s="283"/>
      <c r="Z8" s="283"/>
      <c r="AA8" s="283"/>
      <c r="AB8" s="283"/>
      <c r="AC8" s="283"/>
      <c r="AD8" s="283"/>
      <c r="AE8" s="283"/>
      <c r="AF8" s="283"/>
      <c r="AG8" s="283"/>
      <c r="AH8" s="283"/>
      <c r="AI8" s="283"/>
      <c r="AJ8" s="283"/>
      <c r="AK8" s="283"/>
      <c r="AL8" s="283"/>
      <c r="AM8" s="284"/>
    </row>
    <row r="9" spans="2:40" ht="12.75" customHeight="1">
      <c r="B9" s="233" t="str">
        <f>IF('Filtered Data'!D1="L","Rural Classification:","Region:")</f>
        <v>Region:</v>
      </c>
      <c r="C9" s="304"/>
      <c r="D9" s="304"/>
      <c r="E9" s="304"/>
      <c r="F9" s="304"/>
      <c r="G9" s="304"/>
      <c r="H9" s="304"/>
      <c r="I9" s="304"/>
      <c r="J9" s="3" t="str">
        <f>IF('Filtered Data'!D1="L",'Filtered Data'!H3,'Filtered Data'!G3)</f>
        <v>North West</v>
      </c>
      <c r="K9" s="3"/>
      <c r="L9" s="3"/>
      <c r="M9" s="3"/>
      <c r="N9" s="3"/>
      <c r="O9" s="3"/>
      <c r="P9" s="3"/>
      <c r="Q9" s="3"/>
      <c r="R9" s="3"/>
      <c r="W9" s="282"/>
      <c r="X9" s="283"/>
      <c r="Y9" s="283"/>
      <c r="Z9" s="283"/>
      <c r="AA9" s="283"/>
      <c r="AB9" s="283"/>
      <c r="AC9" s="283"/>
      <c r="AD9" s="283"/>
      <c r="AE9" s="283"/>
      <c r="AF9" s="283"/>
      <c r="AG9" s="283"/>
      <c r="AH9" s="283"/>
      <c r="AI9" s="283"/>
      <c r="AJ9" s="283"/>
      <c r="AK9" s="283"/>
      <c r="AL9" s="283"/>
      <c r="AM9" s="284"/>
    </row>
    <row r="10" spans="2:40" ht="12.75" customHeight="1">
      <c r="B10" s="304" t="str">
        <f>IF('Filtered Data'!D1="L","",IF('Filtered Data'!D1="SC","Rural Classification:",IF('Filtered Data'!D1="UA","Rural Classification:","County:")))</f>
        <v>Rural Classification:</v>
      </c>
      <c r="C10" s="304"/>
      <c r="D10" s="304"/>
      <c r="E10" s="304"/>
      <c r="F10" s="304"/>
      <c r="G10" s="304"/>
      <c r="H10" s="304"/>
      <c r="I10" s="304"/>
      <c r="J10" s="233" t="str">
        <f>IF('Filtered Data'!D1="L","",IF('Filtered Data'!D1="MD",'Filtered Data'!I3,IF('Filtered Data'!D1="SD",'Filtered Data'!I3,'Filtered Data'!H3)))</f>
        <v>Urban with Significant Rural</v>
      </c>
      <c r="K10" s="233"/>
      <c r="L10" s="233"/>
      <c r="M10" s="233"/>
      <c r="N10" s="233"/>
      <c r="O10" s="233"/>
      <c r="P10" s="233"/>
      <c r="Q10" s="233"/>
      <c r="R10" s="233"/>
      <c r="W10" s="282"/>
      <c r="X10" s="283"/>
      <c r="Y10" s="283"/>
      <c r="Z10" s="283"/>
      <c r="AA10" s="283"/>
      <c r="AB10" s="283"/>
      <c r="AC10" s="283"/>
      <c r="AD10" s="283"/>
      <c r="AE10" s="283"/>
      <c r="AF10" s="283"/>
      <c r="AG10" s="283"/>
      <c r="AH10" s="283"/>
      <c r="AI10" s="283"/>
      <c r="AJ10" s="283"/>
      <c r="AK10" s="283"/>
      <c r="AL10" s="283"/>
      <c r="AM10" s="284"/>
    </row>
    <row r="11" spans="2:40" ht="12.75" customHeight="1">
      <c r="B11" s="304" t="str">
        <f>IF('Filtered Data'!D1="L","",IF('Filtered Data'!D1="SC","",IF('Filtered Data'!D1="UA","","Rural Classification:")))</f>
        <v/>
      </c>
      <c r="C11" s="304"/>
      <c r="D11" s="304"/>
      <c r="E11" s="304"/>
      <c r="F11" s="304"/>
      <c r="G11" s="304"/>
      <c r="H11" s="304"/>
      <c r="I11" s="304"/>
      <c r="J11" s="3" t="str">
        <f>IF('Filtered Data'!D1="MD",'Filtered Data'!H3,IF('Filtered Data'!D1="SD",'Filtered Data'!H3,""))</f>
        <v/>
      </c>
      <c r="K11" s="3"/>
      <c r="W11" s="288" t="s">
        <v>364</v>
      </c>
      <c r="X11" s="289"/>
      <c r="Y11" s="289"/>
      <c r="Z11" s="289"/>
      <c r="AA11" s="289"/>
      <c r="AB11" s="289"/>
      <c r="AC11" s="289"/>
      <c r="AD11" s="289"/>
      <c r="AE11" s="289"/>
      <c r="AF11" s="289"/>
      <c r="AG11" s="289"/>
      <c r="AH11" s="289"/>
      <c r="AI11" s="289"/>
      <c r="AJ11" s="289"/>
      <c r="AK11" s="289"/>
      <c r="AL11" s="289"/>
      <c r="AM11" s="290"/>
    </row>
    <row r="12" spans="2:40" ht="12.75" customHeight="1">
      <c r="W12" s="263" t="s">
        <v>906</v>
      </c>
      <c r="X12" s="264"/>
      <c r="Y12" s="264"/>
      <c r="Z12" s="264"/>
      <c r="AA12" s="264"/>
      <c r="AB12" s="264"/>
      <c r="AC12" s="264"/>
      <c r="AD12" s="264"/>
      <c r="AE12" s="264"/>
      <c r="AF12" s="264"/>
      <c r="AG12" s="264"/>
      <c r="AH12" s="264"/>
      <c r="AI12" s="264"/>
      <c r="AJ12" s="264"/>
      <c r="AK12" s="264"/>
      <c r="AL12" s="264"/>
      <c r="AM12" s="265"/>
    </row>
    <row r="13" spans="2:40" ht="12.75" customHeight="1">
      <c r="B13" s="19"/>
      <c r="C13" s="19"/>
      <c r="D13" s="19"/>
      <c r="E13" s="19"/>
      <c r="F13" s="19"/>
      <c r="G13" s="19"/>
      <c r="H13" s="19"/>
      <c r="I13" s="19"/>
      <c r="J13" s="3"/>
      <c r="K13" s="3"/>
      <c r="L13" s="3"/>
      <c r="M13" s="3"/>
      <c r="N13" s="3"/>
      <c r="O13" s="3"/>
      <c r="P13" s="3"/>
      <c r="Q13" s="3"/>
      <c r="R13" s="3"/>
      <c r="W13" s="305" t="s">
        <v>365</v>
      </c>
      <c r="X13" s="306"/>
      <c r="Y13" s="306"/>
      <c r="Z13" s="306"/>
      <c r="AA13" s="306"/>
      <c r="AB13" s="306"/>
      <c r="AC13" s="306"/>
      <c r="AD13" s="306"/>
      <c r="AE13" s="306"/>
      <c r="AF13" s="306"/>
      <c r="AG13" s="306"/>
      <c r="AH13" s="306"/>
      <c r="AI13" s="306"/>
      <c r="AJ13" s="306"/>
      <c r="AK13" s="306"/>
      <c r="AL13" s="306"/>
      <c r="AM13" s="307"/>
    </row>
    <row r="14" spans="2:40" ht="25.5" customHeight="1">
      <c r="B14" s="19"/>
      <c r="C14" s="19"/>
      <c r="D14" s="19"/>
      <c r="E14" s="19"/>
      <c r="F14" s="19"/>
      <c r="G14" s="19"/>
      <c r="H14" s="19"/>
      <c r="I14" s="19"/>
      <c r="J14" s="3"/>
      <c r="K14" s="3"/>
      <c r="L14" s="3"/>
      <c r="M14" s="3"/>
      <c r="N14" s="3"/>
      <c r="O14" s="3"/>
      <c r="P14" s="3"/>
      <c r="Q14" s="3"/>
      <c r="R14" s="3"/>
      <c r="W14" s="285" t="str">
        <f>HLOOKUP(W6,Data!4:6,3,FALSE)</f>
        <v>www.gov.uk</v>
      </c>
      <c r="X14" s="286"/>
      <c r="Y14" s="286"/>
      <c r="Z14" s="286"/>
      <c r="AA14" s="286"/>
      <c r="AB14" s="286"/>
      <c r="AC14" s="286"/>
      <c r="AD14" s="286"/>
      <c r="AE14" s="286"/>
      <c r="AF14" s="286"/>
      <c r="AG14" s="286"/>
      <c r="AH14" s="286"/>
      <c r="AI14" s="286"/>
      <c r="AJ14" s="286"/>
      <c r="AK14" s="286"/>
      <c r="AL14" s="286"/>
      <c r="AM14" s="287"/>
    </row>
    <row r="15" spans="2:40"/>
    <row r="16" spans="2:40">
      <c r="B16" s="293" t="str">
        <f>W6&amp;" - "&amp;W12</f>
        <v>Housing Benefit - New Claims - Q4 2023/24</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row>
    <row r="17" spans="2:42">
      <c r="B17" s="29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8"/>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1" t="s">
        <v>340</v>
      </c>
      <c r="F32" s="302"/>
      <c r="G32" s="302"/>
      <c r="H32" s="302"/>
      <c r="I32" s="302"/>
      <c r="J32" s="302"/>
      <c r="K32" s="275">
        <f>IF('Filtered Data'!$H$8="..",'Filtered Data'!O10,'Filtered Data'!O10/100)</f>
        <v>14</v>
      </c>
      <c r="L32" s="275"/>
      <c r="M32" s="275"/>
      <c r="N32" s="274" t="s">
        <v>351</v>
      </c>
      <c r="O32" s="274"/>
      <c r="P32" s="274"/>
      <c r="Q32" s="274"/>
      <c r="R32" s="274"/>
      <c r="S32" s="274"/>
      <c r="T32" s="275">
        <f>IF('Filtered Data'!$H$8="..",'Filtered Data'!P10,'Filtered Data'!P10/100)</f>
        <v>20</v>
      </c>
      <c r="U32" s="275"/>
      <c r="V32" s="275"/>
      <c r="W32" s="275"/>
      <c r="X32" s="299" t="s">
        <v>352</v>
      </c>
      <c r="Y32" s="299"/>
      <c r="Z32" s="299"/>
      <c r="AA32" s="299"/>
      <c r="AB32" s="299"/>
      <c r="AC32" s="275">
        <f>IF('Filtered Data'!$H$8="..",'Filtered Data'!Q10,'Filtered Data'!Q10/100)</f>
        <v>24.75</v>
      </c>
      <c r="AD32" s="275"/>
      <c r="AE32" s="275"/>
      <c r="AF32" s="266" t="s">
        <v>341</v>
      </c>
      <c r="AG32" s="266"/>
      <c r="AH32" s="266"/>
      <c r="AI32" s="266"/>
      <c r="AJ32" s="266"/>
      <c r="AK32" s="266"/>
      <c r="AL32" s="266"/>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92">
        <f>IF(ISERROR(IF('Filtered Data'!$H$8="%.",(VLOOKUP(J5,'Filtered Data'!C:H,4,FALSE))/100,(VLOOKUP(J5,'Filtered Data'!C:H,4,FALSE)))),"",(IF('Filtered Data'!$H$8="%.",(VLOOKUP(J5,'Filtered Data'!C:H,4,FALSE))/100,(VLOOKUP(J5,'Filtered Data'!C:H,4,FALSE)))))</f>
        <v>20</v>
      </c>
      <c r="M35" s="292"/>
      <c r="N35" s="292"/>
      <c r="O35" s="292"/>
      <c r="P35" s="92"/>
      <c r="Q35" s="292" t="s">
        <v>353</v>
      </c>
      <c r="R35" s="292"/>
      <c r="S35" s="292"/>
      <c r="T35" s="292"/>
      <c r="U35" s="292"/>
      <c r="V35" s="292"/>
      <c r="W35" s="292"/>
      <c r="AP35" s="56"/>
    </row>
    <row r="36" spans="2:16384" ht="12.75" customHeight="1">
      <c r="B36" s="291" t="str">
        <f>'Filtered Data'!R8&amp;" Quartile"</f>
        <v>Second Quartile</v>
      </c>
      <c r="C36" s="291"/>
      <c r="D36" s="291"/>
      <c r="E36" s="291"/>
      <c r="F36" s="291"/>
      <c r="G36" s="291"/>
      <c r="H36" s="291"/>
      <c r="I36" s="291"/>
      <c r="J36" s="291"/>
      <c r="K36" s="291"/>
      <c r="L36" s="291"/>
      <c r="M36" s="291"/>
      <c r="N36" s="291"/>
      <c r="O36" s="291"/>
      <c r="P36" s="291"/>
      <c r="Q36" s="291"/>
      <c r="R36" s="291"/>
      <c r="S36" s="291"/>
      <c r="T36" s="291"/>
      <c r="U36" s="291"/>
      <c r="V36" s="291"/>
      <c r="W36" s="291"/>
      <c r="Z36" s="17" t="s">
        <v>357</v>
      </c>
      <c r="AB36" s="278" t="s">
        <v>359</v>
      </c>
      <c r="AC36" s="278"/>
      <c r="AD36" s="278"/>
      <c r="AE36" s="278"/>
      <c r="AF36" s="278"/>
      <c r="AG36" s="278"/>
      <c r="AH36" s="278"/>
      <c r="AI36" s="278"/>
      <c r="AJ36" s="278"/>
      <c r="AK36" s="278"/>
      <c r="AL36" s="278"/>
      <c r="AM36" s="110"/>
      <c r="AP36" s="56"/>
    </row>
    <row r="37" spans="2:16384" ht="12.75" customHeight="1">
      <c r="B37" s="93" t="str">
        <f>VLOOKUP('Filtered Data'!D1,'Filtered Data'!L1:O6,2,FALSE)</f>
        <v>Unitaries</v>
      </c>
      <c r="C37" s="93"/>
      <c r="D37" s="93"/>
      <c r="E37" s="93"/>
      <c r="F37" s="93"/>
      <c r="G37" s="93"/>
      <c r="H37" s="93"/>
      <c r="I37" s="93"/>
      <c r="J37" s="239" t="s">
        <v>798</v>
      </c>
      <c r="K37" s="94" t="str">
        <f>IF(Q37="","",IF('Filtered Data'!I8="D",IF($L$35&gt;=L37,"J","L"),IF('Filtered Data'!I8="A",IF($L$35&lt;=L37,"J","L"))))</f>
        <v>L</v>
      </c>
      <c r="L37" s="268">
        <f>'Filtered Data'!M9</f>
        <v>19.806451612903224</v>
      </c>
      <c r="M37" s="268"/>
      <c r="N37" s="268"/>
      <c r="O37" s="268"/>
      <c r="P37" s="95"/>
      <c r="Q37" s="259">
        <f>VLOOKUP(J5,'Filtered Data'!C:I,7,FALSE)</f>
        <v>31</v>
      </c>
      <c r="R37" s="259"/>
      <c r="S37" s="96"/>
      <c r="T37" s="97" t="s">
        <v>354</v>
      </c>
      <c r="U37" s="98"/>
      <c r="V37" s="259">
        <f>COUNT('Filtered Data'!I11:I333)</f>
        <v>62</v>
      </c>
      <c r="W37" s="259"/>
      <c r="AB37" s="278"/>
      <c r="AC37" s="278"/>
      <c r="AD37" s="278"/>
      <c r="AE37" s="278"/>
      <c r="AF37" s="278"/>
      <c r="AG37" s="278"/>
      <c r="AH37" s="278"/>
      <c r="AI37" s="278"/>
      <c r="AJ37" s="278"/>
      <c r="AK37" s="278"/>
      <c r="AL37" s="278"/>
      <c r="AM37" s="110"/>
      <c r="AP37" s="56"/>
    </row>
    <row r="38" spans="2:16384">
      <c r="B38" s="93" t="str">
        <f>IF('Filtered Data'!D1="L","Family",IF('Filtered Data'!D1="SD",VLOOKUP(J5,classifications!C:J,6,FALSE),"Rural"))</f>
        <v>Rural</v>
      </c>
      <c r="C38" s="93"/>
      <c r="D38" s="93"/>
      <c r="E38" s="93"/>
      <c r="F38" s="93"/>
      <c r="G38" s="93"/>
      <c r="H38" s="93"/>
      <c r="I38" s="93"/>
      <c r="J38" s="240"/>
      <c r="K38" s="94" t="str">
        <f>IF(Q38="","",IF('Filtered Data'!I8="D",IF($L$35&gt;=L38,"J","L"),IF('Filtered Data'!I8="A",IF($L$35&lt;=L38,"J","L"))))</f>
        <v>J</v>
      </c>
      <c r="L38" s="268">
        <f>IF('Filtered Data'!D1="L",'Filtered Data'!AG9,'Filtered Data'!Y9)</f>
        <v>21.565217391304348</v>
      </c>
      <c r="M38" s="268"/>
      <c r="N38" s="268"/>
      <c r="O38" s="268"/>
      <c r="P38" s="95"/>
      <c r="Q38" s="277">
        <f>IF(ISERROR(IF('Filtered Data'!D1="L",VLOOKUP(J5,'Filtered Data'!AF11:AH25,3,FALSE),VLOOKUP(J5,'Filtered Data'!$L$11:$Z$333,15,FALSE))),"",(IF('Filtered Data'!D1="L",VLOOKUP(J5,'Filtered Data'!AF11:AH25,3,FALSE),VLOOKUP(J5,'Filtered Data'!$L$11:$Z$333,15,FALSE))))</f>
        <v>9</v>
      </c>
      <c r="R38" s="277"/>
      <c r="S38" s="267" t="s">
        <v>354</v>
      </c>
      <c r="T38" s="268"/>
      <c r="U38" s="268"/>
      <c r="V38" s="259">
        <f>IF('Filtered Data'!D1="L",16,COUNT('Filtered Data'!Z:Z))</f>
        <v>23</v>
      </c>
      <c r="W38" s="25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240"/>
      <c r="K39" s="94" t="str">
        <f>IF(Q39="","",IF('Filtered Data'!I8="D",IF($L$35&gt;=L39,"J","L"),IF('Filtered Data'!I8="A",IF($L$35&lt;=L39,"J","L"))))</f>
        <v>J</v>
      </c>
      <c r="L39" s="268">
        <f>IF('Filtered Data'!D1="L","",IF('Filtered Data'!D1="SD",'Filtered Data'!AJ9,'Filtered Data'!AQ9))</f>
        <v>20.25</v>
      </c>
      <c r="M39" s="268"/>
      <c r="N39" s="268"/>
      <c r="O39" s="268"/>
      <c r="P39" s="95"/>
      <c r="Q39" s="259">
        <f>IF(ISERROR(IF('Filtered Data'!D1="L","",IF('Filtered Data'!D1="SD",VLOOKUP(J5,'Filtered Data'!L:AK,26,FALSE),(VLOOKUP(J5,'Filtered Data'!L:AR,33,FALSE))))),"",(IF('Filtered Data'!D1="L","",IF('Filtered Data'!D1="SD",VLOOKUP(J5,'Filtered Data'!L:AK,26,FALSE),(VLOOKUP(J5,'Filtered Data'!L:AR,33,FALSE))))))</f>
        <v>4</v>
      </c>
      <c r="R39" s="259"/>
      <c r="S39" s="96"/>
      <c r="T39" s="98" t="str">
        <f>IF(B39="","","out of")</f>
        <v>out of</v>
      </c>
      <c r="U39" s="98"/>
      <c r="V39" s="259">
        <f>IF('Filtered Data'!D1="L","",IF('Filtered Data'!D1="SD",COUNT('Filtered Data'!AK11:AK333),(COUNT('Filtered Data'!AQ11:AQ333))))</f>
        <v>8</v>
      </c>
      <c r="W39" s="259"/>
      <c r="Z39" s="11" t="s">
        <v>358</v>
      </c>
      <c r="AB39" s="278" t="s">
        <v>360</v>
      </c>
      <c r="AC39" s="278"/>
      <c r="AD39" s="278"/>
      <c r="AE39" s="278"/>
      <c r="AF39" s="278"/>
      <c r="AG39" s="278"/>
      <c r="AH39" s="278"/>
      <c r="AI39" s="278"/>
      <c r="AJ39" s="278"/>
      <c r="AK39" s="278"/>
      <c r="AL39" s="278"/>
      <c r="AM39" s="278"/>
      <c r="AP39" s="56"/>
    </row>
    <row r="40" spans="2:16384" ht="12.75" customHeight="1">
      <c r="B40" s="106"/>
      <c r="C40" s="106"/>
      <c r="D40" s="106"/>
      <c r="E40" s="106"/>
      <c r="F40" s="106"/>
      <c r="G40" s="106"/>
      <c r="H40" s="106"/>
      <c r="I40" s="106"/>
      <c r="J40" s="105"/>
      <c r="K40" s="107"/>
      <c r="L40" s="269"/>
      <c r="M40" s="269"/>
      <c r="N40" s="269"/>
      <c r="O40" s="269"/>
      <c r="P40" s="108"/>
      <c r="Q40" s="270"/>
      <c r="R40" s="270"/>
      <c r="S40" s="269"/>
      <c r="T40" s="273"/>
      <c r="U40" s="273"/>
      <c r="V40" s="270"/>
      <c r="W40" s="270"/>
      <c r="AB40" s="278"/>
      <c r="AC40" s="278"/>
      <c r="AD40" s="278"/>
      <c r="AE40" s="278"/>
      <c r="AF40" s="278"/>
      <c r="AG40" s="278"/>
      <c r="AH40" s="278"/>
      <c r="AI40" s="278"/>
      <c r="AJ40" s="278"/>
      <c r="AK40" s="278"/>
      <c r="AL40" s="278"/>
      <c r="AM40" s="278"/>
      <c r="AP40" s="56"/>
    </row>
    <row r="41" spans="2:16384">
      <c r="B41" s="224"/>
      <c r="C41" s="224"/>
      <c r="D41" s="224"/>
      <c r="E41" s="224"/>
      <c r="F41" s="224"/>
      <c r="G41" s="224"/>
      <c r="H41" s="224"/>
      <c r="I41" s="224"/>
      <c r="J41" s="105"/>
      <c r="K41" s="225" t="str">
        <f>IF(B41="","",IF('Filtered Data'!D1="UA","",(IF($L$35&gt;=L41,"J","L"))))</f>
        <v/>
      </c>
      <c r="L41" s="260"/>
      <c r="M41" s="260"/>
      <c r="N41" s="260"/>
      <c r="O41" s="260"/>
      <c r="P41" s="226"/>
      <c r="Q41" s="271"/>
      <c r="R41" s="271"/>
      <c r="S41" s="276"/>
      <c r="T41" s="276"/>
      <c r="U41" s="276"/>
      <c r="V41" s="271"/>
      <c r="W41" s="271"/>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5" t="s">
        <v>356</v>
      </c>
      <c r="C43" s="256"/>
      <c r="D43" s="256"/>
      <c r="E43" s="256"/>
      <c r="F43" s="256"/>
      <c r="G43" s="256"/>
      <c r="H43" s="256"/>
      <c r="I43" s="256"/>
      <c r="J43" s="256"/>
      <c r="K43" s="256"/>
      <c r="L43" s="256"/>
      <c r="M43" s="256"/>
      <c r="N43" s="256"/>
      <c r="O43" s="251" t="str">
        <f>W6&amp;" - "&amp;W12</f>
        <v>Housing Benefit - New Claims - Q4 2023/24</v>
      </c>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2"/>
      <c r="AP43" s="56"/>
    </row>
    <row r="44" spans="2:16384">
      <c r="B44" s="257"/>
      <c r="C44" s="258"/>
      <c r="D44" s="258"/>
      <c r="E44" s="258"/>
      <c r="F44" s="258"/>
      <c r="G44" s="258"/>
      <c r="H44" s="258"/>
      <c r="I44" s="258"/>
      <c r="J44" s="258"/>
      <c r="K44" s="258"/>
      <c r="L44" s="258"/>
      <c r="M44" s="258"/>
      <c r="N44" s="258"/>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61">
        <f>IF('Filtered Data'!$H$8="..",L35,L35*100)</f>
        <v>20</v>
      </c>
      <c r="F48" s="261"/>
      <c r="G48" s="261"/>
      <c r="H48" s="261"/>
      <c r="K48" s="235">
        <f>IF('Filtered Data'!$H$8="..",K$32,K$32*100)</f>
        <v>14</v>
      </c>
      <c r="L48" s="235"/>
      <c r="M48" s="235">
        <f>IF('Filtered Data'!$H$8="..",T$32,T$32*100)</f>
        <v>20</v>
      </c>
      <c r="N48" s="235"/>
      <c r="O48" s="235">
        <f>IF('Filtered Data'!$H$8="..",AC$32,AC$32*100)</f>
        <v>24.75</v>
      </c>
      <c r="P48" s="235"/>
      <c r="AM48" s="6"/>
      <c r="AP48" s="56"/>
    </row>
    <row r="49" spans="2:42">
      <c r="B49" s="5"/>
      <c r="D49" t="str">
        <f>B37</f>
        <v>Unitaries</v>
      </c>
      <c r="E49" s="261">
        <f>IF('Filtered Data'!$H$8="..",L37,L37*100)</f>
        <v>19.806451612903224</v>
      </c>
      <c r="F49" s="261"/>
      <c r="G49" s="261"/>
      <c r="H49" s="261"/>
      <c r="K49" s="235">
        <f>IF('Filtered Data'!$H$8="..",K$32,K$32*100)</f>
        <v>14</v>
      </c>
      <c r="L49" s="235"/>
      <c r="M49" s="235">
        <f>IF('Filtered Data'!$H$8="..",T$32,T$32*100)</f>
        <v>20</v>
      </c>
      <c r="N49" s="235"/>
      <c r="O49" s="235">
        <f>IF('Filtered Data'!$H$8="..",AC$32,AC$32*100)</f>
        <v>24.75</v>
      </c>
      <c r="P49" s="235"/>
      <c r="AM49" s="6"/>
      <c r="AP49" s="56"/>
    </row>
    <row r="50" spans="2:42">
      <c r="B50" s="5"/>
      <c r="D50" s="64" t="str">
        <f>B39</f>
        <v>Regional</v>
      </c>
      <c r="E50" s="261">
        <f>IF('Filtered Data'!$H$8="..",L39,L39*100)</f>
        <v>20.25</v>
      </c>
      <c r="F50" s="261"/>
      <c r="G50" s="261"/>
      <c r="H50" s="261"/>
      <c r="K50" s="235">
        <f>IF('Filtered Data'!$H$8="..",K$32,K$32*100)</f>
        <v>14</v>
      </c>
      <c r="L50" s="235"/>
      <c r="M50" s="235">
        <f>IF('Filtered Data'!$H$8="..",T$32,T$32*100)</f>
        <v>20</v>
      </c>
      <c r="N50" s="235"/>
      <c r="O50" s="235">
        <f>IF('Filtered Data'!$H$8="..",AC$32,AC$32*100)</f>
        <v>24.75</v>
      </c>
      <c r="P50" s="235"/>
      <c r="AM50" s="6"/>
      <c r="AP50" s="56"/>
    </row>
    <row r="51" spans="2:42">
      <c r="B51" s="5"/>
      <c r="D51" s="227" t="str">
        <f>B38</f>
        <v>Rural</v>
      </c>
      <c r="E51" s="261">
        <f>IF('Filtered Data'!$H$8="..",L38,L38*100)</f>
        <v>21.565217391304348</v>
      </c>
      <c r="F51" s="261"/>
      <c r="G51" s="261"/>
      <c r="H51" s="261"/>
      <c r="K51" s="235">
        <f>IF('Filtered Data'!$H$8="..",K$32,K$32*100)</f>
        <v>14</v>
      </c>
      <c r="L51" s="235"/>
      <c r="M51" s="235">
        <f>IF('Filtered Data'!$H$8="..",T$32,T$32*100)</f>
        <v>20</v>
      </c>
      <c r="N51" s="235"/>
      <c r="O51" s="235">
        <f>IF('Filtered Data'!$H$8="..",AC$32,AC$32*100)</f>
        <v>24.75</v>
      </c>
      <c r="P51" s="235"/>
      <c r="AM51" s="6"/>
      <c r="AP51" s="56"/>
    </row>
    <row r="52" spans="2:42">
      <c r="B52" s="5"/>
      <c r="E52" s="261"/>
      <c r="F52" s="261"/>
      <c r="G52" s="261"/>
      <c r="H52" s="261"/>
      <c r="K52" s="235"/>
      <c r="L52" s="235"/>
      <c r="M52" s="235"/>
      <c r="N52" s="235"/>
      <c r="O52" s="235"/>
      <c r="P52" s="235"/>
      <c r="AM52" s="6"/>
      <c r="AP52" s="56"/>
    </row>
    <row r="53" spans="2:42">
      <c r="B53" s="5"/>
      <c r="E53" s="262"/>
      <c r="F53" s="262"/>
      <c r="G53" s="262"/>
      <c r="H53" s="262"/>
      <c r="K53" s="235"/>
      <c r="L53" s="235"/>
      <c r="M53" s="235"/>
      <c r="N53" s="235"/>
      <c r="O53" s="235"/>
      <c r="P53" s="235"/>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7" t="str">
        <f>B3</f>
        <v>Speed of Processing</v>
      </c>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P59" s="56"/>
    </row>
    <row r="60" spans="2:42">
      <c r="AP60" s="56"/>
    </row>
    <row r="61" spans="2:42" ht="12" customHeight="1">
      <c r="B61" s="1" t="str">
        <f>W6&amp;" - "&amp;W12</f>
        <v>Housing Benefit - New Claims - Q4 2023/24</v>
      </c>
      <c r="AP61" s="56"/>
    </row>
    <row r="62" spans="2:42" ht="12" customHeight="1">
      <c r="AP62" s="56"/>
    </row>
    <row r="63" spans="2:42" ht="12" customHeight="1">
      <c r="B63" s="1" t="s">
        <v>362</v>
      </c>
      <c r="AP63" s="56"/>
    </row>
    <row r="64" spans="2:42" ht="12" customHeight="1">
      <c r="AP64" s="56"/>
    </row>
    <row r="65" spans="2:42" ht="12" customHeight="1">
      <c r="B65" s="246" t="s">
        <v>353</v>
      </c>
      <c r="C65" s="246"/>
      <c r="D65" s="246"/>
      <c r="E65" s="234" t="s">
        <v>333</v>
      </c>
      <c r="F65" s="234"/>
      <c r="G65" s="234"/>
      <c r="H65" s="234"/>
      <c r="I65" s="234"/>
      <c r="J65" s="234"/>
      <c r="K65" s="234"/>
      <c r="L65" s="234"/>
      <c r="M65" s="234"/>
      <c r="N65" s="234"/>
      <c r="O65" s="234"/>
      <c r="P65" s="234"/>
      <c r="Q65" s="234"/>
      <c r="R65" s="234"/>
      <c r="S65" s="234"/>
      <c r="T65" s="234"/>
      <c r="U65" s="246" t="s">
        <v>363</v>
      </c>
      <c r="V65" s="246"/>
      <c r="W65" s="246"/>
      <c r="X65" s="246"/>
      <c r="Y65" s="1"/>
      <c r="Z65" s="1"/>
      <c r="AA65" s="1"/>
      <c r="AB65" s="1"/>
      <c r="AC65" s="4"/>
      <c r="AD65" s="1"/>
      <c r="AE65" s="1"/>
      <c r="AF65" s="1"/>
      <c r="AG65" s="1"/>
      <c r="AI65" s="1"/>
      <c r="AJ65" s="1"/>
      <c r="AK65" s="1"/>
      <c r="AL65" s="1"/>
      <c r="AP65" s="56"/>
    </row>
    <row r="66" spans="2:42" ht="12" customHeight="1">
      <c r="B66" s="243">
        <v>1</v>
      </c>
      <c r="C66" s="235"/>
      <c r="D66" s="235"/>
      <c r="E66" s="233" t="str">
        <f>VLOOKUP(B66,'Filtered Data'!K:L,2,FALSE)</f>
        <v>North Somerset</v>
      </c>
      <c r="F66" s="233"/>
      <c r="G66" s="233"/>
      <c r="H66" s="233"/>
      <c r="I66" s="233"/>
      <c r="J66" s="233"/>
      <c r="K66" s="233"/>
      <c r="L66" s="233"/>
      <c r="M66" s="233"/>
      <c r="N66" s="233"/>
      <c r="O66" s="233"/>
      <c r="P66" s="233"/>
      <c r="Q66" s="233"/>
      <c r="R66" s="233"/>
      <c r="S66" s="233"/>
      <c r="T66" s="233"/>
      <c r="U66" s="238">
        <f>IF('Filtered Data'!$H$8="%.",(VLOOKUP(B66,'Filtered Data'!K:M,3,FALSE))/100,VLOOKUP(B66,'Filtered Data'!K:M,3,FALSE))</f>
        <v>6</v>
      </c>
      <c r="V66" s="238"/>
      <c r="W66" s="238"/>
      <c r="X66" s="238"/>
      <c r="Y66" s="132" t="str">
        <f>IF((VLOOKUP(E66,classifications!C:K,9,FALSE))="Sparse","S","")</f>
        <v>S</v>
      </c>
      <c r="Z66" s="132"/>
      <c r="AA66" s="132"/>
      <c r="AB66" s="132"/>
      <c r="AC66" s="132"/>
      <c r="AD66" s="250"/>
      <c r="AE66" s="250"/>
      <c r="AF66" s="250"/>
      <c r="AG66" s="250"/>
      <c r="AH66" s="250"/>
      <c r="AI66" s="250"/>
      <c r="AJ66" s="250"/>
      <c r="AK66" s="250"/>
      <c r="AL66" s="250"/>
      <c r="AP66" s="56"/>
    </row>
    <row r="67" spans="2:42" ht="12" customHeight="1">
      <c r="B67" s="243">
        <v>2</v>
      </c>
      <c r="C67" s="235"/>
      <c r="D67" s="235"/>
      <c r="E67" s="233" t="str">
        <f>VLOOKUP(B67,'Filtered Data'!K:L,2,FALSE)</f>
        <v>Redcar &amp; Cleveland</v>
      </c>
      <c r="F67" s="233"/>
      <c r="G67" s="233"/>
      <c r="H67" s="233"/>
      <c r="I67" s="233"/>
      <c r="J67" s="233"/>
      <c r="K67" s="233"/>
      <c r="L67" s="233"/>
      <c r="M67" s="233"/>
      <c r="N67" s="233"/>
      <c r="O67" s="233"/>
      <c r="P67" s="233"/>
      <c r="Q67" s="233"/>
      <c r="R67" s="233"/>
      <c r="S67" s="233"/>
      <c r="T67" s="233"/>
      <c r="U67" s="238">
        <f>IF('Filtered Data'!$H$8="%.",(VLOOKUP(B67,'Filtered Data'!K:M,3,FALSE))/100,VLOOKUP(B67,'Filtered Data'!K:M,3,FALSE))</f>
        <v>7</v>
      </c>
      <c r="V67" s="238"/>
      <c r="W67" s="238"/>
      <c r="X67" s="238"/>
      <c r="Y67" s="132" t="str">
        <f>IF((VLOOKUP(E67,classifications!C:K,9,FALSE))="Sparse","S","")</f>
        <v/>
      </c>
      <c r="Z67" s="132"/>
      <c r="AA67" s="132"/>
      <c r="AB67" s="132"/>
      <c r="AC67" s="132"/>
      <c r="AD67" s="250"/>
      <c r="AE67" s="250"/>
      <c r="AF67" s="250"/>
      <c r="AG67" s="250"/>
      <c r="AH67" s="250"/>
      <c r="AI67" s="250"/>
      <c r="AJ67" s="250"/>
      <c r="AK67" s="250"/>
      <c r="AL67" s="250"/>
      <c r="AP67" s="56"/>
    </row>
    <row r="68" spans="2:42" ht="12" customHeight="1">
      <c r="B68" s="243">
        <v>3</v>
      </c>
      <c r="C68" s="235"/>
      <c r="D68" s="235"/>
      <c r="E68" s="233" t="str">
        <f>VLOOKUP(B68,'Filtered Data'!K:L,2,FALSE)</f>
        <v>Swindon</v>
      </c>
      <c r="F68" s="233"/>
      <c r="G68" s="233"/>
      <c r="H68" s="233"/>
      <c r="I68" s="233"/>
      <c r="J68" s="233"/>
      <c r="K68" s="233"/>
      <c r="L68" s="233"/>
      <c r="M68" s="233"/>
      <c r="N68" s="233"/>
      <c r="O68" s="233"/>
      <c r="P68" s="233"/>
      <c r="Q68" s="233"/>
      <c r="R68" s="233"/>
      <c r="S68" s="233"/>
      <c r="T68" s="233"/>
      <c r="U68" s="238">
        <f>IF('Filtered Data'!$H$8="%.",(VLOOKUP(B68,'Filtered Data'!K:M,3,FALSE))/100,VLOOKUP(B68,'Filtered Data'!K:M,3,FALSE))</f>
        <v>8</v>
      </c>
      <c r="V68" s="238"/>
      <c r="W68" s="238"/>
      <c r="X68" s="238"/>
      <c r="Y68" s="132" t="str">
        <f>IF((VLOOKUP(E68,classifications!C:K,9,FALSE))="Sparse","S","")</f>
        <v/>
      </c>
      <c r="Z68" s="132"/>
      <c r="AA68" s="132"/>
      <c r="AB68" s="132"/>
      <c r="AC68" s="132"/>
      <c r="AD68" s="250"/>
      <c r="AE68" s="250"/>
      <c r="AF68" s="250"/>
      <c r="AG68" s="250"/>
      <c r="AH68" s="250"/>
      <c r="AI68" s="250"/>
      <c r="AJ68" s="250"/>
      <c r="AK68" s="250"/>
      <c r="AL68" s="250"/>
      <c r="AP68" s="56"/>
    </row>
    <row r="69" spans="2:42" ht="12" customHeight="1">
      <c r="B69" s="243">
        <v>4</v>
      </c>
      <c r="C69" s="235"/>
      <c r="D69" s="235"/>
      <c r="E69" s="233" t="str">
        <f>VLOOKUP(B69,'Filtered Data'!K:L,2,FALSE)</f>
        <v>Blackburn with Darwen</v>
      </c>
      <c r="F69" s="233"/>
      <c r="G69" s="233"/>
      <c r="H69" s="233"/>
      <c r="I69" s="233"/>
      <c r="J69" s="233"/>
      <c r="K69" s="233"/>
      <c r="L69" s="233"/>
      <c r="M69" s="233"/>
      <c r="N69" s="233"/>
      <c r="O69" s="233"/>
      <c r="P69" s="233"/>
      <c r="Q69" s="233"/>
      <c r="R69" s="233"/>
      <c r="S69" s="233"/>
      <c r="T69" s="233"/>
      <c r="U69" s="238">
        <f>IF('Filtered Data'!$H$8="%.",(VLOOKUP(B69,'Filtered Data'!K:M,3,FALSE))/100,VLOOKUP(B69,'Filtered Data'!K:M,3,FALSE))</f>
        <v>10</v>
      </c>
      <c r="V69" s="238"/>
      <c r="W69" s="238"/>
      <c r="X69" s="238"/>
      <c r="Y69" s="132" t="str">
        <f>IF((VLOOKUP(E69,classifications!C:K,9,FALSE))="Sparse","S","")</f>
        <v/>
      </c>
      <c r="Z69" s="132"/>
      <c r="AA69" s="132"/>
      <c r="AB69" s="132"/>
      <c r="AC69" s="132"/>
      <c r="AD69" s="250"/>
      <c r="AE69" s="250"/>
      <c r="AF69" s="250"/>
      <c r="AG69" s="250"/>
      <c r="AH69" s="250"/>
      <c r="AI69" s="250"/>
      <c r="AJ69" s="250"/>
      <c r="AK69" s="250"/>
      <c r="AL69" s="250"/>
      <c r="AP69" s="56"/>
    </row>
    <row r="70" spans="2:42" ht="12" customHeight="1">
      <c r="B70" s="243">
        <v>5</v>
      </c>
      <c r="C70" s="235"/>
      <c r="D70" s="235"/>
      <c r="E70" s="233" t="str">
        <f>VLOOKUP(B70,'Filtered Data'!K:L,2,FALSE)</f>
        <v>Peterborough</v>
      </c>
      <c r="F70" s="233"/>
      <c r="G70" s="233"/>
      <c r="H70" s="233"/>
      <c r="I70" s="233"/>
      <c r="J70" s="233"/>
      <c r="K70" s="233"/>
      <c r="L70" s="233"/>
      <c r="M70" s="233"/>
      <c r="N70" s="233"/>
      <c r="O70" s="233"/>
      <c r="P70" s="233"/>
      <c r="Q70" s="233"/>
      <c r="R70" s="233"/>
      <c r="S70" s="233"/>
      <c r="T70" s="233"/>
      <c r="U70" s="238">
        <f>IF('Filtered Data'!$H$8="%.",(VLOOKUP(B70,'Filtered Data'!K:M,3,FALSE))/100,VLOOKUP(B70,'Filtered Data'!K:M,3,FALSE))</f>
        <v>11</v>
      </c>
      <c r="V70" s="238"/>
      <c r="W70" s="238"/>
      <c r="X70" s="238"/>
      <c r="Y70" s="132" t="str">
        <f>IF((VLOOKUP(E70,classifications!C:K,9,FALSE))="Sparse","S","")</f>
        <v/>
      </c>
      <c r="Z70" s="132"/>
      <c r="AA70" s="132"/>
      <c r="AB70" s="132"/>
      <c r="AC70" s="132"/>
      <c r="AD70" s="250"/>
      <c r="AE70" s="250"/>
      <c r="AF70" s="250"/>
      <c r="AG70" s="250"/>
      <c r="AH70" s="250"/>
      <c r="AI70" s="250"/>
      <c r="AJ70" s="250"/>
      <c r="AK70" s="250"/>
      <c r="AL70" s="250"/>
      <c r="AP70" s="56"/>
    </row>
    <row r="71" spans="2:42" ht="12" customHeight="1">
      <c r="B71" s="243">
        <v>6</v>
      </c>
      <c r="C71" s="235"/>
      <c r="D71" s="235"/>
      <c r="E71" s="233" t="str">
        <f>VLOOKUP(B71,'Filtered Data'!K:L,2,FALSE)</f>
        <v>York</v>
      </c>
      <c r="F71" s="233"/>
      <c r="G71" s="233"/>
      <c r="H71" s="233"/>
      <c r="I71" s="233"/>
      <c r="J71" s="233"/>
      <c r="K71" s="233"/>
      <c r="L71" s="233"/>
      <c r="M71" s="233"/>
      <c r="N71" s="233"/>
      <c r="O71" s="233"/>
      <c r="P71" s="233"/>
      <c r="Q71" s="233"/>
      <c r="R71" s="233"/>
      <c r="S71" s="233"/>
      <c r="T71" s="233"/>
      <c r="U71" s="238">
        <f>IF('Filtered Data'!$H$8="%.",(VLOOKUP(B71,'Filtered Data'!K:M,3,FALSE))/100,VLOOKUP(B71,'Filtered Data'!K:M,3,FALSE))</f>
        <v>11</v>
      </c>
      <c r="V71" s="238"/>
      <c r="W71" s="238"/>
      <c r="X71" s="238"/>
      <c r="Y71" s="132" t="str">
        <f>IF((VLOOKUP(E71,classifications!C:K,9,FALSE))="Sparse","S","")</f>
        <v/>
      </c>
      <c r="Z71" s="132"/>
      <c r="AA71" s="132"/>
      <c r="AB71" s="132"/>
      <c r="AC71" s="132"/>
      <c r="AD71" s="250"/>
      <c r="AE71" s="250"/>
      <c r="AF71" s="250"/>
      <c r="AG71" s="250"/>
      <c r="AH71" s="250"/>
      <c r="AI71" s="250"/>
      <c r="AJ71" s="250"/>
      <c r="AK71" s="250"/>
      <c r="AL71" s="250"/>
      <c r="AP71" s="56"/>
    </row>
    <row r="72" spans="2:42" ht="12" customHeight="1">
      <c r="B72" s="243">
        <v>7</v>
      </c>
      <c r="C72" s="235"/>
      <c r="D72" s="235"/>
      <c r="E72" s="233" t="str">
        <f>VLOOKUP(B72,'Filtered Data'!K:L,2,FALSE)</f>
        <v>Durham</v>
      </c>
      <c r="F72" s="233"/>
      <c r="G72" s="233"/>
      <c r="H72" s="233"/>
      <c r="I72" s="233"/>
      <c r="J72" s="233"/>
      <c r="K72" s="233"/>
      <c r="L72" s="233"/>
      <c r="M72" s="233"/>
      <c r="N72" s="233"/>
      <c r="O72" s="233"/>
      <c r="P72" s="233"/>
      <c r="Q72" s="233"/>
      <c r="R72" s="233"/>
      <c r="S72" s="233"/>
      <c r="T72" s="233"/>
      <c r="U72" s="238">
        <f>IF('Filtered Data'!$H$8="%.",(VLOOKUP(B72,'Filtered Data'!K:M,3,FALSE))/100,VLOOKUP(B72,'Filtered Data'!K:M,3,FALSE))</f>
        <v>12</v>
      </c>
      <c r="V72" s="238"/>
      <c r="W72" s="238"/>
      <c r="X72" s="238"/>
      <c r="Y72" s="132" t="str">
        <f>IF((VLOOKUP(E72,classifications!C:K,9,FALSE))="Sparse","S","")</f>
        <v>S</v>
      </c>
      <c r="Z72" s="132"/>
      <c r="AA72" s="132"/>
      <c r="AB72" s="132"/>
      <c r="AC72" s="132"/>
      <c r="AD72" s="250"/>
      <c r="AE72" s="250"/>
      <c r="AF72" s="250"/>
      <c r="AG72" s="250"/>
      <c r="AH72" s="250"/>
      <c r="AI72" s="250"/>
      <c r="AJ72" s="250"/>
      <c r="AK72" s="250"/>
      <c r="AL72" s="250"/>
      <c r="AP72" s="56"/>
    </row>
    <row r="73" spans="2:42" ht="12" customHeight="1">
      <c r="B73" s="243">
        <v>8</v>
      </c>
      <c r="C73" s="235"/>
      <c r="D73" s="235"/>
      <c r="E73" s="233" t="str">
        <f>VLOOKUP(B73,'Filtered Data'!K:L,2,FALSE)</f>
        <v>Northumberland</v>
      </c>
      <c r="F73" s="233"/>
      <c r="G73" s="233"/>
      <c r="H73" s="233"/>
      <c r="I73" s="233"/>
      <c r="J73" s="233"/>
      <c r="K73" s="233"/>
      <c r="L73" s="233"/>
      <c r="M73" s="233"/>
      <c r="N73" s="233"/>
      <c r="O73" s="233"/>
      <c r="P73" s="233"/>
      <c r="Q73" s="233"/>
      <c r="R73" s="233"/>
      <c r="S73" s="233"/>
      <c r="T73" s="233"/>
      <c r="U73" s="238">
        <f>IF('Filtered Data'!$H$8="%.",(VLOOKUP(B73,'Filtered Data'!K:M,3,FALSE))/100,VLOOKUP(B73,'Filtered Data'!K:M,3,FALSE))</f>
        <v>12</v>
      </c>
      <c r="V73" s="238"/>
      <c r="W73" s="238"/>
      <c r="X73" s="238"/>
      <c r="Y73" s="132" t="str">
        <f>IF((VLOOKUP(E73,classifications!C:K,9,FALSE))="Sparse","S","")</f>
        <v>S</v>
      </c>
      <c r="Z73" s="132"/>
      <c r="AA73" s="132"/>
      <c r="AB73" s="132"/>
      <c r="AC73" s="132"/>
      <c r="AD73" s="250"/>
      <c r="AE73" s="250"/>
      <c r="AF73" s="250"/>
      <c r="AG73" s="250"/>
      <c r="AH73" s="250"/>
      <c r="AI73" s="250"/>
      <c r="AJ73" s="250"/>
      <c r="AK73" s="250"/>
      <c r="AL73" s="250"/>
      <c r="AP73" s="56"/>
    </row>
    <row r="74" spans="2:42" ht="12" customHeight="1">
      <c r="B74" s="243">
        <v>9</v>
      </c>
      <c r="C74" s="235"/>
      <c r="D74" s="235"/>
      <c r="E74" s="233" t="str">
        <f>VLOOKUP(B74,'Filtered Data'!K:L,2,FALSE)</f>
        <v>Telford &amp; Wrekin</v>
      </c>
      <c r="F74" s="233"/>
      <c r="G74" s="233"/>
      <c r="H74" s="233"/>
      <c r="I74" s="233"/>
      <c r="J74" s="233"/>
      <c r="K74" s="233"/>
      <c r="L74" s="233"/>
      <c r="M74" s="233"/>
      <c r="N74" s="233"/>
      <c r="O74" s="233"/>
      <c r="P74" s="233"/>
      <c r="Q74" s="233"/>
      <c r="R74" s="233"/>
      <c r="S74" s="233"/>
      <c r="T74" s="233"/>
      <c r="U74" s="238">
        <f>IF('Filtered Data'!$H$8="%.",(VLOOKUP(B74,'Filtered Data'!K:M,3,FALSE))/100,VLOOKUP(B74,'Filtered Data'!K:M,3,FALSE))</f>
        <v>12</v>
      </c>
      <c r="V74" s="238"/>
      <c r="W74" s="238"/>
      <c r="X74" s="238"/>
      <c r="Y74" s="132" t="str">
        <f>IF((VLOOKUP(E74,classifications!C:K,9,FALSE))="Sparse","S","")</f>
        <v/>
      </c>
      <c r="Z74" s="132"/>
      <c r="AA74" s="132"/>
      <c r="AB74" s="132"/>
      <c r="AC74" s="132"/>
      <c r="AD74" s="250"/>
      <c r="AE74" s="250"/>
      <c r="AF74" s="250"/>
      <c r="AG74" s="250"/>
      <c r="AH74" s="250"/>
      <c r="AI74" s="250"/>
      <c r="AJ74" s="250"/>
      <c r="AK74" s="250"/>
      <c r="AL74" s="250"/>
      <c r="AP74" s="56"/>
    </row>
    <row r="75" spans="2:42" ht="12" customHeight="1">
      <c r="B75" s="243">
        <v>10</v>
      </c>
      <c r="C75" s="235"/>
      <c r="D75" s="235"/>
      <c r="E75" s="233" t="str">
        <f>VLOOKUP(B75,'Filtered Data'!K:L,2,FALSE)</f>
        <v>Blackpool</v>
      </c>
      <c r="F75" s="233"/>
      <c r="G75" s="233"/>
      <c r="H75" s="233"/>
      <c r="I75" s="233"/>
      <c r="J75" s="233"/>
      <c r="K75" s="233"/>
      <c r="L75" s="233"/>
      <c r="M75" s="233"/>
      <c r="N75" s="233"/>
      <c r="O75" s="233"/>
      <c r="P75" s="233"/>
      <c r="Q75" s="233"/>
      <c r="R75" s="233"/>
      <c r="S75" s="233"/>
      <c r="T75" s="233"/>
      <c r="U75" s="238">
        <f>IF('Filtered Data'!$H$8="%.",(VLOOKUP(B75,'Filtered Data'!K:M,3,FALSE))/100,VLOOKUP(B75,'Filtered Data'!K:M,3,FALSE))</f>
        <v>13</v>
      </c>
      <c r="V75" s="238"/>
      <c r="W75" s="238"/>
      <c r="X75" s="238"/>
      <c r="Y75" s="132" t="str">
        <f>IF((VLOOKUP(E75,classifications!C:K,9,FALSE))="Sparse","S","")</f>
        <v/>
      </c>
      <c r="Z75" s="132"/>
      <c r="AA75" s="132"/>
      <c r="AB75" s="132"/>
      <c r="AC75" s="132"/>
      <c r="AD75" s="250"/>
      <c r="AE75" s="250"/>
      <c r="AF75" s="250"/>
      <c r="AG75" s="250"/>
      <c r="AH75" s="250"/>
      <c r="AI75" s="250"/>
      <c r="AJ75" s="250"/>
      <c r="AK75" s="250"/>
      <c r="AL75" s="250"/>
      <c r="AP75" s="56"/>
    </row>
    <row r="76" spans="2:42" ht="12" customHeight="1">
      <c r="B76" s="243">
        <v>11</v>
      </c>
      <c r="C76" s="235"/>
      <c r="D76" s="235"/>
      <c r="E76" s="233" t="str">
        <f>VLOOKUP(B76,'Filtered Data'!K:L,2,FALSE)</f>
        <v>Cornwall</v>
      </c>
      <c r="F76" s="233"/>
      <c r="G76" s="233"/>
      <c r="H76" s="233"/>
      <c r="I76" s="233"/>
      <c r="J76" s="233"/>
      <c r="K76" s="233"/>
      <c r="L76" s="233"/>
      <c r="M76" s="233"/>
      <c r="N76" s="233"/>
      <c r="O76" s="233"/>
      <c r="P76" s="233"/>
      <c r="Q76" s="233"/>
      <c r="R76" s="233"/>
      <c r="S76" s="233"/>
      <c r="T76" s="233"/>
      <c r="U76" s="238">
        <f>IF('Filtered Data'!$H$8="%.",(VLOOKUP(B76,'Filtered Data'!K:M,3,FALSE))/100,VLOOKUP(B76,'Filtered Data'!K:M,3,FALSE))</f>
        <v>13</v>
      </c>
      <c r="V76" s="238"/>
      <c r="W76" s="238"/>
      <c r="X76" s="238"/>
      <c r="Y76" s="132" t="str">
        <f>IF((VLOOKUP(E76,classifications!C:K,9,FALSE))="Sparse","S","")</f>
        <v>S</v>
      </c>
      <c r="Z76" s="132"/>
      <c r="AA76" s="132"/>
      <c r="AB76" s="132"/>
      <c r="AC76" s="132"/>
      <c r="AD76" s="250"/>
      <c r="AE76" s="250"/>
      <c r="AF76" s="250"/>
      <c r="AG76" s="250"/>
      <c r="AH76" s="250"/>
      <c r="AI76" s="250"/>
      <c r="AJ76" s="250"/>
      <c r="AK76" s="250"/>
      <c r="AL76" s="250"/>
      <c r="AP76" s="56"/>
    </row>
    <row r="77" spans="2:42" ht="12" customHeight="1">
      <c r="B77" s="243">
        <v>12</v>
      </c>
      <c r="C77" s="235"/>
      <c r="D77" s="235"/>
      <c r="E77" s="233" t="str">
        <f>VLOOKUP(B77,'Filtered Data'!K:L,2,FALSE)</f>
        <v>Isle Of Wight</v>
      </c>
      <c r="F77" s="233"/>
      <c r="G77" s="233"/>
      <c r="H77" s="233"/>
      <c r="I77" s="233"/>
      <c r="J77" s="233"/>
      <c r="K77" s="233"/>
      <c r="L77" s="233"/>
      <c r="M77" s="233"/>
      <c r="N77" s="233"/>
      <c r="O77" s="233"/>
      <c r="P77" s="233"/>
      <c r="Q77" s="233"/>
      <c r="R77" s="233"/>
      <c r="S77" s="233"/>
      <c r="T77" s="233"/>
      <c r="U77" s="238">
        <f>IF('Filtered Data'!$H$8="%.",(VLOOKUP(B77,'Filtered Data'!K:M,3,FALSE))/100,VLOOKUP(B77,'Filtered Data'!K:M,3,FALSE))</f>
        <v>13</v>
      </c>
      <c r="V77" s="238"/>
      <c r="W77" s="238"/>
      <c r="X77" s="238"/>
      <c r="Y77" s="132" t="str">
        <f>IF((VLOOKUP(E77,classifications!C:K,9,FALSE))="Sparse","S","")</f>
        <v>S</v>
      </c>
      <c r="Z77" s="132"/>
      <c r="AA77" s="132"/>
      <c r="AB77" s="132"/>
      <c r="AC77" s="132"/>
      <c r="AD77" s="250"/>
      <c r="AE77" s="250"/>
      <c r="AF77" s="250"/>
      <c r="AG77" s="250"/>
      <c r="AH77" s="250"/>
      <c r="AI77" s="250"/>
      <c r="AJ77" s="250"/>
      <c r="AK77" s="250"/>
      <c r="AL77" s="250"/>
      <c r="AP77" s="56"/>
    </row>
    <row r="78" spans="2:42" ht="12" customHeight="1">
      <c r="B78" s="243">
        <v>13</v>
      </c>
      <c r="C78" s="235"/>
      <c r="D78" s="235"/>
      <c r="E78" s="233" t="str">
        <f>VLOOKUP(B78,'Filtered Data'!K:L,2,FALSE)</f>
        <v>Stockton-on-Tees</v>
      </c>
      <c r="F78" s="233"/>
      <c r="G78" s="233"/>
      <c r="H78" s="233"/>
      <c r="I78" s="233"/>
      <c r="J78" s="233"/>
      <c r="K78" s="233"/>
      <c r="L78" s="233"/>
      <c r="M78" s="233"/>
      <c r="N78" s="233"/>
      <c r="O78" s="233"/>
      <c r="P78" s="233"/>
      <c r="Q78" s="233"/>
      <c r="R78" s="233"/>
      <c r="S78" s="233"/>
      <c r="T78" s="233"/>
      <c r="U78" s="238">
        <f>IF('Filtered Data'!$H$8="%.",(VLOOKUP(B78,'Filtered Data'!K:M,3,FALSE))/100,VLOOKUP(B78,'Filtered Data'!K:M,3,FALSE))</f>
        <v>13</v>
      </c>
      <c r="V78" s="238"/>
      <c r="W78" s="238"/>
      <c r="X78" s="238"/>
      <c r="Y78" s="132" t="str">
        <f>IF((VLOOKUP(E78,classifications!C:K,9,FALSE))="Sparse","S","")</f>
        <v/>
      </c>
      <c r="Z78" s="132"/>
      <c r="AA78" s="132"/>
      <c r="AB78" s="132"/>
      <c r="AC78" s="132"/>
      <c r="AD78" s="250"/>
      <c r="AE78" s="250"/>
      <c r="AF78" s="250"/>
      <c r="AG78" s="250"/>
      <c r="AH78" s="250"/>
      <c r="AI78" s="250"/>
      <c r="AJ78" s="250"/>
      <c r="AK78" s="250"/>
      <c r="AL78" s="250"/>
      <c r="AP78" s="56"/>
    </row>
    <row r="79" spans="2:42" ht="12" customHeight="1">
      <c r="B79" s="243">
        <v>14</v>
      </c>
      <c r="C79" s="235"/>
      <c r="D79" s="235"/>
      <c r="E79" s="233" t="str">
        <f>VLOOKUP(B79,'Filtered Data'!K:L,2,FALSE)</f>
        <v>Thurrock</v>
      </c>
      <c r="F79" s="233"/>
      <c r="G79" s="233"/>
      <c r="H79" s="233"/>
      <c r="I79" s="233"/>
      <c r="J79" s="233"/>
      <c r="K79" s="233"/>
      <c r="L79" s="233"/>
      <c r="M79" s="233"/>
      <c r="N79" s="233"/>
      <c r="O79" s="233"/>
      <c r="P79" s="233"/>
      <c r="Q79" s="233"/>
      <c r="R79" s="233"/>
      <c r="S79" s="233"/>
      <c r="T79" s="233"/>
      <c r="U79" s="238">
        <f>IF('Filtered Data'!$H$8="%.",(VLOOKUP(B79,'Filtered Data'!K:M,3,FALSE))/100,VLOOKUP(B79,'Filtered Data'!K:M,3,FALSE))</f>
        <v>13</v>
      </c>
      <c r="V79" s="238"/>
      <c r="W79" s="238"/>
      <c r="X79" s="238"/>
      <c r="Y79" s="132" t="str">
        <f>IF((VLOOKUP(E79,classifications!C:K,9,FALSE))="Sparse","S","")</f>
        <v/>
      </c>
      <c r="Z79" s="132"/>
      <c r="AA79" s="132"/>
      <c r="AB79" s="132"/>
      <c r="AC79" s="132"/>
      <c r="AD79" s="250"/>
      <c r="AE79" s="250"/>
      <c r="AF79" s="250"/>
      <c r="AG79" s="250"/>
      <c r="AH79" s="250"/>
      <c r="AI79" s="250"/>
      <c r="AJ79" s="250"/>
      <c r="AK79" s="250"/>
      <c r="AL79" s="250"/>
      <c r="AP79" s="56"/>
    </row>
    <row r="80" spans="2:42" ht="12" customHeight="1">
      <c r="B80" s="243">
        <v>15</v>
      </c>
      <c r="C80" s="235"/>
      <c r="D80" s="235"/>
      <c r="E80" s="233" t="str">
        <f>VLOOKUP(B80,'Filtered Data'!K:L,2,FALSE)</f>
        <v>Bracknell Forest</v>
      </c>
      <c r="F80" s="233"/>
      <c r="G80" s="233"/>
      <c r="H80" s="233"/>
      <c r="I80" s="233"/>
      <c r="J80" s="233"/>
      <c r="K80" s="233"/>
      <c r="L80" s="233"/>
      <c r="M80" s="233"/>
      <c r="N80" s="233"/>
      <c r="O80" s="233"/>
      <c r="P80" s="233"/>
      <c r="Q80" s="233"/>
      <c r="R80" s="233"/>
      <c r="S80" s="233"/>
      <c r="T80" s="233"/>
      <c r="U80" s="238">
        <f>IF('Filtered Data'!$H$8="%.",(VLOOKUP(B80,'Filtered Data'!K:M,3,FALSE))/100,VLOOKUP(B80,'Filtered Data'!K:M,3,FALSE))</f>
        <v>14</v>
      </c>
      <c r="V80" s="238"/>
      <c r="W80" s="238"/>
      <c r="X80" s="238"/>
      <c r="Y80" s="132" t="str">
        <f>IF((VLOOKUP(E80,classifications!C:K,9,FALSE))="Sparse","S","")</f>
        <v/>
      </c>
      <c r="Z80" s="132"/>
      <c r="AA80" s="132"/>
      <c r="AB80" s="132"/>
      <c r="AC80" s="132"/>
      <c r="AD80" s="250"/>
      <c r="AE80" s="250"/>
      <c r="AF80" s="250"/>
      <c r="AG80" s="250"/>
      <c r="AH80" s="250"/>
      <c r="AI80" s="250"/>
      <c r="AJ80" s="250"/>
      <c r="AK80" s="250"/>
      <c r="AL80" s="250"/>
      <c r="AP80" s="56"/>
    </row>
    <row r="81" spans="1:48" ht="12" customHeight="1">
      <c r="B81" s="243">
        <v>16</v>
      </c>
      <c r="C81" s="235"/>
      <c r="D81" s="235"/>
      <c r="E81" s="233" t="str">
        <f>VLOOKUP(B81,'Filtered Data'!K:L,2,FALSE)</f>
        <v>Somerset</v>
      </c>
      <c r="F81" s="233"/>
      <c r="G81" s="233"/>
      <c r="H81" s="233"/>
      <c r="I81" s="233"/>
      <c r="J81" s="233"/>
      <c r="K81" s="233"/>
      <c r="L81" s="233"/>
      <c r="M81" s="233"/>
      <c r="N81" s="233"/>
      <c r="O81" s="233"/>
      <c r="P81" s="233"/>
      <c r="Q81" s="233"/>
      <c r="R81" s="233"/>
      <c r="S81" s="233"/>
      <c r="T81" s="233"/>
      <c r="U81" s="238">
        <f>IF('Filtered Data'!$H$8="%.",(VLOOKUP(B81,'Filtered Data'!K:M,3,FALSE))/100,VLOOKUP(B81,'Filtered Data'!K:M,3,FALSE))</f>
        <v>14</v>
      </c>
      <c r="V81" s="238"/>
      <c r="W81" s="238"/>
      <c r="X81" s="238"/>
      <c r="Y81" s="132" t="str">
        <f>IF((VLOOKUP(E81,classifications!C:K,9,FALSE))="Sparse","S","")</f>
        <v/>
      </c>
      <c r="Z81" s="132"/>
      <c r="AA81" s="132"/>
      <c r="AB81" s="132"/>
      <c r="AC81" s="132"/>
      <c r="AD81" s="250"/>
      <c r="AE81" s="250"/>
      <c r="AF81" s="250"/>
      <c r="AG81" s="250"/>
      <c r="AH81" s="250"/>
      <c r="AI81" s="250"/>
      <c r="AJ81" s="250"/>
      <c r="AK81" s="250"/>
      <c r="AL81" s="250"/>
      <c r="AP81" s="56"/>
    </row>
    <row r="82" spans="1:48" ht="12" customHeight="1">
      <c r="B82" s="243">
        <v>17</v>
      </c>
      <c r="C82" s="235"/>
      <c r="D82" s="235"/>
      <c r="E82" s="233" t="str">
        <f>VLOOKUP(B82,'Filtered Data'!K:L,2,FALSE)</f>
        <v>Windsor &amp; Maidenhead</v>
      </c>
      <c r="F82" s="233"/>
      <c r="G82" s="233"/>
      <c r="H82" s="233"/>
      <c r="I82" s="233"/>
      <c r="J82" s="233"/>
      <c r="K82" s="233"/>
      <c r="L82" s="233"/>
      <c r="M82" s="233"/>
      <c r="N82" s="233"/>
      <c r="O82" s="233"/>
      <c r="P82" s="233"/>
      <c r="Q82" s="233"/>
      <c r="R82" s="233"/>
      <c r="S82" s="233"/>
      <c r="T82" s="233"/>
      <c r="U82" s="238">
        <f>IF('Filtered Data'!$H$8="%.",(VLOOKUP(B82,'Filtered Data'!K:M,3,FALSE))/100,VLOOKUP(B82,'Filtered Data'!K:M,3,FALSE))</f>
        <v>14</v>
      </c>
      <c r="V82" s="238"/>
      <c r="W82" s="238"/>
      <c r="X82" s="238"/>
      <c r="Y82" s="132" t="str">
        <f>IF((VLOOKUP(E82,classifications!C:K,9,FALSE))="Sparse","S","")</f>
        <v/>
      </c>
      <c r="Z82" s="132"/>
      <c r="AA82" s="132"/>
      <c r="AB82" s="132"/>
      <c r="AC82" s="132"/>
      <c r="AD82" s="250"/>
      <c r="AE82" s="250"/>
      <c r="AF82" s="250"/>
      <c r="AG82" s="250"/>
      <c r="AH82" s="250"/>
      <c r="AI82" s="250"/>
      <c r="AJ82" s="250"/>
      <c r="AK82" s="250"/>
      <c r="AL82" s="250"/>
      <c r="AP82" s="56"/>
    </row>
    <row r="83" spans="1:48" ht="12" customHeight="1">
      <c r="B83" s="243">
        <v>18</v>
      </c>
      <c r="C83" s="235"/>
      <c r="D83" s="235"/>
      <c r="E83" s="233" t="str">
        <f>VLOOKUP(B83,'Filtered Data'!K:L,2,FALSE)</f>
        <v>Luton</v>
      </c>
      <c r="F83" s="233"/>
      <c r="G83" s="233"/>
      <c r="H83" s="233"/>
      <c r="I83" s="233"/>
      <c r="J83" s="233"/>
      <c r="K83" s="233"/>
      <c r="L83" s="233"/>
      <c r="M83" s="233"/>
      <c r="N83" s="233"/>
      <c r="O83" s="233"/>
      <c r="P83" s="233"/>
      <c r="Q83" s="233"/>
      <c r="R83" s="233"/>
      <c r="S83" s="233"/>
      <c r="T83" s="233"/>
      <c r="U83" s="238">
        <f>IF('Filtered Data'!$H$8="%.",(VLOOKUP(B83,'Filtered Data'!K:M,3,FALSE))/100,VLOOKUP(B83,'Filtered Data'!K:M,3,FALSE))</f>
        <v>15</v>
      </c>
      <c r="V83" s="238"/>
      <c r="W83" s="238"/>
      <c r="X83" s="238"/>
      <c r="Y83" s="132" t="str">
        <f>IF((VLOOKUP(E83,classifications!C:K,9,FALSE))="Sparse","S","")</f>
        <v/>
      </c>
      <c r="Z83" s="132"/>
      <c r="AA83" s="132"/>
      <c r="AB83" s="132"/>
      <c r="AC83" s="132"/>
      <c r="AD83" s="250"/>
      <c r="AE83" s="250"/>
      <c r="AF83" s="250"/>
      <c r="AG83" s="250"/>
      <c r="AH83" s="250"/>
      <c r="AI83" s="250"/>
      <c r="AJ83" s="250"/>
      <c r="AK83" s="250"/>
      <c r="AL83" s="250"/>
      <c r="AP83" s="56"/>
    </row>
    <row r="84" spans="1:48" ht="12" customHeight="1">
      <c r="B84" s="243">
        <v>19</v>
      </c>
      <c r="C84" s="235"/>
      <c r="D84" s="235"/>
      <c r="E84" s="233" t="str">
        <f>VLOOKUP(B84,'Filtered Data'!K:L,2,FALSE)</f>
        <v>Middlesbrough</v>
      </c>
      <c r="F84" s="233"/>
      <c r="G84" s="233"/>
      <c r="H84" s="233"/>
      <c r="I84" s="233"/>
      <c r="J84" s="233"/>
      <c r="K84" s="233"/>
      <c r="L84" s="233"/>
      <c r="M84" s="233"/>
      <c r="N84" s="233"/>
      <c r="O84" s="233"/>
      <c r="P84" s="233"/>
      <c r="Q84" s="233"/>
      <c r="R84" s="233"/>
      <c r="S84" s="233"/>
      <c r="T84" s="233"/>
      <c r="U84" s="238">
        <f>IF('Filtered Data'!$H$8="%.",(VLOOKUP(B84,'Filtered Data'!K:M,3,FALSE))/100,VLOOKUP(B84,'Filtered Data'!K:M,3,FALSE))</f>
        <v>15</v>
      </c>
      <c r="V84" s="238"/>
      <c r="W84" s="238"/>
      <c r="X84" s="238"/>
      <c r="Y84" s="132" t="str">
        <f>IF((VLOOKUP(E84,classifications!C:K,9,FALSE))="Sparse","S","")</f>
        <v/>
      </c>
      <c r="Z84" s="132"/>
      <c r="AA84" s="132"/>
      <c r="AB84" s="132"/>
      <c r="AC84" s="132"/>
      <c r="AD84" s="250"/>
      <c r="AE84" s="250"/>
      <c r="AF84" s="250"/>
      <c r="AG84" s="250"/>
      <c r="AH84" s="250"/>
      <c r="AI84" s="250"/>
      <c r="AJ84" s="250"/>
      <c r="AK84" s="250"/>
      <c r="AL84" s="250"/>
      <c r="AP84" s="56"/>
    </row>
    <row r="85" spans="1:48" ht="12" customHeight="1">
      <c r="B85" s="243">
        <v>20</v>
      </c>
      <c r="C85" s="243"/>
      <c r="D85" s="243"/>
      <c r="E85" s="233" t="str">
        <f>VLOOKUP(B85,'Filtered Data'!K:L,2,FALSE)</f>
        <v>Milton Keynes</v>
      </c>
      <c r="F85" s="233"/>
      <c r="G85" s="233"/>
      <c r="H85" s="233"/>
      <c r="I85" s="233"/>
      <c r="J85" s="233"/>
      <c r="K85" s="233"/>
      <c r="L85" s="233"/>
      <c r="M85" s="233"/>
      <c r="N85" s="233"/>
      <c r="O85" s="233"/>
      <c r="P85" s="233"/>
      <c r="Q85" s="233"/>
      <c r="R85" s="233"/>
      <c r="S85" s="233"/>
      <c r="T85" s="233"/>
      <c r="U85" s="238">
        <f>IF('Filtered Data'!$H$8="%.",(VLOOKUP(B85,'Filtered Data'!K:M,3,FALSE))/100,VLOOKUP(B85,'Filtered Data'!K:M,3,FALSE))</f>
        <v>15</v>
      </c>
      <c r="V85" s="238"/>
      <c r="W85" s="238"/>
      <c r="X85" s="238"/>
      <c r="Y85" s="132" t="str">
        <f>IF((VLOOKUP(E85,classifications!C:K,9,FALSE))="Sparse","S","")</f>
        <v/>
      </c>
      <c r="Z85" s="132"/>
      <c r="AA85" s="132"/>
      <c r="AB85" s="132"/>
      <c r="AC85" s="132"/>
      <c r="AD85" s="250"/>
      <c r="AE85" s="250"/>
      <c r="AF85" s="250"/>
      <c r="AG85" s="250"/>
      <c r="AH85" s="250"/>
      <c r="AI85" s="250"/>
      <c r="AJ85" s="250"/>
      <c r="AK85" s="250"/>
      <c r="AL85" s="250"/>
      <c r="AP85" s="56"/>
    </row>
    <row r="86" spans="1:48" ht="12" customHeight="1">
      <c r="A86" s="51"/>
      <c r="B86" s="245">
        <f>IF(Q37&lt;=MAX(B66:D85),"",Q37)</f>
        <v>31</v>
      </c>
      <c r="C86" s="245"/>
      <c r="D86" s="245"/>
      <c r="E86" s="244" t="str">
        <f>IF(B86="","",VLOOKUP(B86,'Filtered Data'!K:L,2,FALSE))</f>
        <v>Cheshire East</v>
      </c>
      <c r="F86" s="244"/>
      <c r="G86" s="244"/>
      <c r="H86" s="244"/>
      <c r="I86" s="244"/>
      <c r="J86" s="244"/>
      <c r="K86" s="244"/>
      <c r="L86" s="244"/>
      <c r="M86" s="244"/>
      <c r="N86" s="244"/>
      <c r="O86" s="244"/>
      <c r="P86" s="244"/>
      <c r="Q86" s="244"/>
      <c r="R86" s="244"/>
      <c r="S86" s="244"/>
      <c r="T86" s="244"/>
      <c r="U86" s="309">
        <f>IF(B86="","",L35)</f>
        <v>20</v>
      </c>
      <c r="V86" s="309"/>
      <c r="W86" s="309"/>
      <c r="X86" s="309"/>
      <c r="Y86" s="132" t="str">
        <f>IF(B86="","",IF((VLOOKUP(E86,classifications!C:K,9,FALSE))="Sparse","S",""))</f>
        <v>S</v>
      </c>
      <c r="Z86" s="132"/>
      <c r="AA86" s="132"/>
      <c r="AB86" s="132"/>
      <c r="AC86" s="132"/>
      <c r="AD86" s="310"/>
      <c r="AE86" s="310"/>
      <c r="AF86" s="310"/>
      <c r="AG86" s="310"/>
      <c r="AH86" s="310"/>
      <c r="AI86" s="310"/>
      <c r="AJ86" s="310"/>
      <c r="AK86" s="310"/>
      <c r="AL86" s="310"/>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46" t="str">
        <f>IF('Filtered Data'!D1="MD","",IF('Filtered Data'!D1="SC","","Rank"))</f>
        <v>Rank</v>
      </c>
      <c r="C91" s="246"/>
      <c r="D91" s="246"/>
      <c r="E91" s="234" t="str">
        <f>IF('Filtered Data'!D1="MD","",IF('Filtered Data'!D1="SC","","Authority"))</f>
        <v>Authority</v>
      </c>
      <c r="F91" s="234"/>
      <c r="G91" s="234"/>
      <c r="H91" s="234"/>
      <c r="I91" s="234"/>
      <c r="J91" s="234"/>
      <c r="K91" s="234"/>
      <c r="L91" s="234"/>
      <c r="M91" s="234"/>
      <c r="N91" s="234"/>
      <c r="O91" s="230"/>
      <c r="P91" s="230"/>
      <c r="Q91" s="230"/>
      <c r="R91" s="230"/>
      <c r="S91" s="230"/>
      <c r="T91" s="230"/>
      <c r="U91" s="246" t="str">
        <f>IF('Filtered Data'!D1="MD","",IF('Filtered Data'!D1="SC","","Value"))</f>
        <v>Value</v>
      </c>
      <c r="V91" s="246"/>
      <c r="W91" s="246"/>
      <c r="X91" s="246"/>
      <c r="AA91" s="246"/>
      <c r="AB91" s="246"/>
      <c r="AC91" s="246"/>
      <c r="AD91" s="234"/>
      <c r="AE91" s="234"/>
      <c r="AF91" s="234"/>
      <c r="AG91" s="234"/>
      <c r="AH91" s="234"/>
      <c r="AI91" s="234"/>
      <c r="AJ91" s="234"/>
      <c r="AK91" s="234"/>
      <c r="AL91" s="234"/>
      <c r="AM91" s="234"/>
      <c r="AN91" s="246"/>
      <c r="AO91" s="246"/>
      <c r="AP91" s="246"/>
      <c r="AV91" s="56"/>
    </row>
    <row r="92" spans="1:48" ht="12" customHeight="1">
      <c r="B92" s="241">
        <f>IF('Filtered Data'!$D$1="MD","",IF('Filtered Data'!$D$1="SC","",IF('Filtered Data'!$D$1="UA",'Filtered Data'!AS11,'Filtered Data'!AL11)))</f>
        <v>1</v>
      </c>
      <c r="C92" s="242"/>
      <c r="D92" s="24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3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10</v>
      </c>
      <c r="V92" s="238"/>
      <c r="W92" s="238"/>
      <c r="X92" s="238"/>
      <c r="Y92" s="133" t="str">
        <f>IF(E92="","",IF((VLOOKUP(E92,classifications!C:K,9,FALSE))="Sparse","S",""))</f>
        <v/>
      </c>
      <c r="AA92" s="248"/>
      <c r="AB92" s="235"/>
      <c r="AC92" s="235"/>
      <c r="AD92" s="233"/>
      <c r="AE92" s="233"/>
      <c r="AF92" s="233"/>
      <c r="AG92" s="233"/>
      <c r="AH92" s="233"/>
      <c r="AI92" s="233"/>
      <c r="AJ92" s="233"/>
      <c r="AK92" s="233"/>
      <c r="AL92" s="233"/>
      <c r="AM92" s="233"/>
      <c r="AN92" s="308"/>
      <c r="AO92" s="308"/>
      <c r="AP92" s="308"/>
      <c r="AQ92" s="308"/>
      <c r="AR92" s="133"/>
      <c r="AV92" s="56"/>
    </row>
    <row r="93" spans="1:48" ht="12" customHeight="1">
      <c r="B93" s="241">
        <f>IF('Filtered Data'!$D$1="MD","",IF('Filtered Data'!$D$1="SC","",IF('Filtered Data'!$D$1="UA",'Filtered Data'!AS12,'Filtered Data'!AL12)))</f>
        <v>2</v>
      </c>
      <c r="C93" s="242"/>
      <c r="D93" s="242"/>
      <c r="E93" s="244" t="str">
        <f>IF(B93="","",IF('Filtered Data'!$D$1="UA",VLOOKUP(B93,'Filtered Data'!AS:AU,2,FALSE),VLOOKUP(B93,'Filtered Data'!AL:AN,2,FALSE)))</f>
        <v>Blackpool</v>
      </c>
      <c r="F93" s="244"/>
      <c r="G93" s="244"/>
      <c r="H93" s="244"/>
      <c r="I93" s="244"/>
      <c r="J93" s="244"/>
      <c r="K93" s="244"/>
      <c r="L93" s="244"/>
      <c r="M93" s="244"/>
      <c r="N93" s="244"/>
      <c r="O93" s="244"/>
      <c r="P93" s="244"/>
      <c r="Q93" s="244"/>
      <c r="R93" s="244"/>
      <c r="S93" s="244"/>
      <c r="T93" s="244"/>
      <c r="U93" s="23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13</v>
      </c>
      <c r="V93" s="238"/>
      <c r="W93" s="238"/>
      <c r="X93" s="238"/>
      <c r="Y93" s="133" t="str">
        <f>IF(E93="","",IF((VLOOKUP(E93,classifications!C:K,9,FALSE))="Sparse","S",""))</f>
        <v/>
      </c>
      <c r="AA93" s="248"/>
      <c r="AB93" s="235"/>
      <c r="AC93" s="235"/>
      <c r="AD93" s="233"/>
      <c r="AE93" s="233"/>
      <c r="AF93" s="233"/>
      <c r="AG93" s="233"/>
      <c r="AH93" s="233"/>
      <c r="AI93" s="233"/>
      <c r="AJ93" s="233"/>
      <c r="AK93" s="233"/>
      <c r="AL93" s="233"/>
      <c r="AM93" s="233"/>
      <c r="AN93" s="308"/>
      <c r="AO93" s="308"/>
      <c r="AP93" s="308"/>
      <c r="AQ93" s="308"/>
      <c r="AR93" s="133"/>
      <c r="AV93" s="56"/>
    </row>
    <row r="94" spans="1:48" ht="12" customHeight="1">
      <c r="B94" s="241">
        <f>IF('Filtered Data'!$D$1="MD","",IF('Filtered Data'!$D$1="SC","",IF('Filtered Data'!$D$1="UA",'Filtered Data'!AS13,'Filtered Data'!AL13)))</f>
        <v>3</v>
      </c>
      <c r="C94" s="242"/>
      <c r="D94" s="242"/>
      <c r="E94" s="244" t="str">
        <f>IF(B94="","",IF('Filtered Data'!$D$1="UA",VLOOKUP(B94,'Filtered Data'!AS:AU,2,FALSE),VLOOKUP(B94,'Filtered Data'!AL:AN,2,FALSE)))</f>
        <v>Halton</v>
      </c>
      <c r="F94" s="244"/>
      <c r="G94" s="244"/>
      <c r="H94" s="244"/>
      <c r="I94" s="244"/>
      <c r="J94" s="244"/>
      <c r="K94" s="244"/>
      <c r="L94" s="244"/>
      <c r="M94" s="244"/>
      <c r="N94" s="244"/>
      <c r="O94" s="244"/>
      <c r="P94" s="244"/>
      <c r="Q94" s="244"/>
      <c r="R94" s="244"/>
      <c r="S94" s="244"/>
      <c r="T94" s="244"/>
      <c r="U94" s="23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17</v>
      </c>
      <c r="V94" s="238"/>
      <c r="W94" s="238"/>
      <c r="X94" s="238"/>
      <c r="Y94" s="133" t="str">
        <f>IF(E94="","",IF((VLOOKUP(E94,classifications!C:K,9,FALSE))="Sparse","S",""))</f>
        <v/>
      </c>
      <c r="AA94" s="248"/>
      <c r="AB94" s="235"/>
      <c r="AC94" s="235"/>
      <c r="AD94" s="233"/>
      <c r="AE94" s="233"/>
      <c r="AF94" s="233"/>
      <c r="AG94" s="233"/>
      <c r="AH94" s="233"/>
      <c r="AI94" s="233"/>
      <c r="AJ94" s="233"/>
      <c r="AK94" s="233"/>
      <c r="AL94" s="233"/>
      <c r="AM94" s="233"/>
      <c r="AN94" s="308"/>
      <c r="AO94" s="308"/>
      <c r="AP94" s="308"/>
      <c r="AQ94" s="308"/>
      <c r="AR94" s="133"/>
      <c r="AV94" s="56"/>
    </row>
    <row r="95" spans="1:48" ht="12" customHeight="1">
      <c r="B95" s="241">
        <f>IF('Filtered Data'!$D$1="MD","",IF('Filtered Data'!$D$1="SC","",IF('Filtered Data'!$D$1="UA",'Filtered Data'!AS14,'Filtered Data'!AL14)))</f>
        <v>4</v>
      </c>
      <c r="C95" s="242"/>
      <c r="D95" s="242"/>
      <c r="E95" s="244" t="str">
        <f>IF(B95="","",IF('Filtered Data'!$D$1="UA",VLOOKUP(B95,'Filtered Data'!AS:AU,2,FALSE),VLOOKUP(B95,'Filtered Data'!AL:AN,2,FALSE)))</f>
        <v>Cheshire East</v>
      </c>
      <c r="F95" s="244"/>
      <c r="G95" s="244"/>
      <c r="H95" s="244"/>
      <c r="I95" s="244"/>
      <c r="J95" s="244"/>
      <c r="K95" s="244"/>
      <c r="L95" s="244"/>
      <c r="M95" s="244"/>
      <c r="N95" s="244"/>
      <c r="O95" s="244"/>
      <c r="P95" s="244"/>
      <c r="Q95" s="244"/>
      <c r="R95" s="244"/>
      <c r="S95" s="244"/>
      <c r="T95" s="244"/>
      <c r="U95" s="23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20</v>
      </c>
      <c r="V95" s="238"/>
      <c r="W95" s="238"/>
      <c r="X95" s="238"/>
      <c r="Y95" s="133" t="str">
        <f>IF(E95="","",IF((VLOOKUP(E95,classifications!C:K,9,FALSE))="Sparse","S",""))</f>
        <v>S</v>
      </c>
      <c r="AA95" s="248"/>
      <c r="AB95" s="235"/>
      <c r="AC95" s="235"/>
      <c r="AD95" s="233"/>
      <c r="AE95" s="233"/>
      <c r="AF95" s="233"/>
      <c r="AG95" s="233"/>
      <c r="AH95" s="233"/>
      <c r="AI95" s="233"/>
      <c r="AJ95" s="233"/>
      <c r="AK95" s="233"/>
      <c r="AL95" s="233"/>
      <c r="AM95" s="233"/>
      <c r="AN95" s="308"/>
      <c r="AO95" s="308"/>
      <c r="AP95" s="308"/>
      <c r="AQ95" s="308"/>
      <c r="AR95" s="133"/>
      <c r="AV95" s="56"/>
    </row>
    <row r="96" spans="1:48" ht="12" customHeight="1">
      <c r="B96" s="241">
        <f>IF('Filtered Data'!$D$1="MD","",IF('Filtered Data'!$D$1="SC","",IF('Filtered Data'!$D$1="UA",'Filtered Data'!AS15,'Filtered Data'!AL15)))</f>
        <v>5</v>
      </c>
      <c r="C96" s="242"/>
      <c r="D96" s="242"/>
      <c r="E96" s="244" t="str">
        <f>IF(B96="","",IF('Filtered Data'!$D$1="UA",VLOOKUP(B96,'Filtered Data'!AS:AU,2,FALSE),VLOOKUP(B96,'Filtered Data'!AL:AN,2,FALSE)))</f>
        <v>Cheshire West &amp; Chester</v>
      </c>
      <c r="F96" s="244"/>
      <c r="G96" s="244"/>
      <c r="H96" s="244"/>
      <c r="I96" s="244"/>
      <c r="J96" s="244"/>
      <c r="K96" s="244"/>
      <c r="L96" s="244"/>
      <c r="M96" s="244"/>
      <c r="N96" s="244"/>
      <c r="O96" s="244"/>
      <c r="P96" s="244"/>
      <c r="Q96" s="244"/>
      <c r="R96" s="244"/>
      <c r="S96" s="244"/>
      <c r="T96" s="244"/>
      <c r="U96" s="238">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22</v>
      </c>
      <c r="V96" s="238"/>
      <c r="W96" s="238"/>
      <c r="X96" s="238"/>
      <c r="Y96" s="133" t="str">
        <f>IF(E96="","",IF((VLOOKUP(E96,classifications!C:K,9,FALSE))="Sparse","S",""))</f>
        <v/>
      </c>
      <c r="AA96" s="248"/>
      <c r="AB96" s="235"/>
      <c r="AC96" s="235"/>
      <c r="AD96" s="233"/>
      <c r="AE96" s="233"/>
      <c r="AF96" s="233"/>
      <c r="AG96" s="233"/>
      <c r="AH96" s="233"/>
      <c r="AI96" s="233"/>
      <c r="AJ96" s="233"/>
      <c r="AK96" s="233"/>
      <c r="AL96" s="233"/>
      <c r="AM96" s="233"/>
      <c r="AN96" s="308"/>
      <c r="AO96" s="308"/>
      <c r="AP96" s="308"/>
      <c r="AQ96" s="308"/>
      <c r="AR96" s="133"/>
      <c r="AV96" s="56"/>
    </row>
    <row r="97" spans="2:48" ht="12" customHeight="1">
      <c r="B97" s="241">
        <f>IF('Filtered Data'!$D$1="MD","",IF('Filtered Data'!$D$1="SC","",IF('Filtered Data'!$D$1="UA",'Filtered Data'!AS16,'Filtered Data'!AL16)))</f>
        <v>6</v>
      </c>
      <c r="C97" s="242"/>
      <c r="D97" s="242"/>
      <c r="E97" s="244" t="str">
        <f>IF(B97="","",IF('Filtered Data'!$D$1="UA",VLOOKUP(B97,'Filtered Data'!AS:AU,2,FALSE),VLOOKUP(B97,'Filtered Data'!AL:AN,2,FALSE)))</f>
        <v>Cumberland</v>
      </c>
      <c r="F97" s="244"/>
      <c r="G97" s="244"/>
      <c r="H97" s="244"/>
      <c r="I97" s="244"/>
      <c r="J97" s="244"/>
      <c r="K97" s="244"/>
      <c r="L97" s="244"/>
      <c r="M97" s="244"/>
      <c r="N97" s="244"/>
      <c r="O97" s="244"/>
      <c r="P97" s="244"/>
      <c r="Q97" s="244"/>
      <c r="R97" s="244"/>
      <c r="S97" s="244"/>
      <c r="T97" s="244"/>
      <c r="U97" s="238">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25</v>
      </c>
      <c r="V97" s="238"/>
      <c r="W97" s="238"/>
      <c r="X97" s="238"/>
      <c r="Y97" s="133" t="str">
        <f>IF(E97="","",IF((VLOOKUP(E97,classifications!C:K,9,FALSE))="Sparse","S",""))</f>
        <v>S</v>
      </c>
      <c r="AA97" s="248"/>
      <c r="AB97" s="235"/>
      <c r="AC97" s="235"/>
      <c r="AD97" s="233"/>
      <c r="AE97" s="233"/>
      <c r="AF97" s="233"/>
      <c r="AG97" s="233"/>
      <c r="AH97" s="233"/>
      <c r="AI97" s="233"/>
      <c r="AJ97" s="233"/>
      <c r="AK97" s="233"/>
      <c r="AL97" s="233"/>
      <c r="AM97" s="233"/>
      <c r="AN97" s="308"/>
      <c r="AO97" s="308"/>
      <c r="AP97" s="308"/>
      <c r="AQ97" s="308"/>
      <c r="AR97" s="133"/>
      <c r="AV97" s="56"/>
    </row>
    <row r="98" spans="2:48" ht="12" customHeight="1">
      <c r="B98" s="241">
        <f>IF('Filtered Data'!$D$1="MD","",IF('Filtered Data'!$D$1="SC","",IF('Filtered Data'!$D$1="UA",'Filtered Data'!AS17,'Filtered Data'!AL17)))</f>
        <v>7</v>
      </c>
      <c r="C98" s="242"/>
      <c r="D98" s="242"/>
      <c r="E98" s="244" t="str">
        <f>IF(B98="","",IF('Filtered Data'!$D$1="UA",VLOOKUP(B98,'Filtered Data'!AS:AU,2,FALSE),VLOOKUP(B98,'Filtered Data'!AL:AN,2,FALSE)))</f>
        <v>Warrington</v>
      </c>
      <c r="F98" s="244"/>
      <c r="G98" s="244"/>
      <c r="H98" s="244"/>
      <c r="I98" s="244"/>
      <c r="J98" s="244"/>
      <c r="K98" s="244"/>
      <c r="L98" s="244"/>
      <c r="M98" s="244"/>
      <c r="N98" s="244"/>
      <c r="O98" s="244"/>
      <c r="P98" s="244"/>
      <c r="Q98" s="244"/>
      <c r="R98" s="244"/>
      <c r="S98" s="244"/>
      <c r="T98" s="244"/>
      <c r="U98" s="238">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25</v>
      </c>
      <c r="V98" s="238"/>
      <c r="W98" s="238"/>
      <c r="X98" s="238"/>
      <c r="Y98" s="133" t="str">
        <f>IF(E98="","",IF((VLOOKUP(E98,classifications!C:K,9,FALSE))="Sparse","S",""))</f>
        <v/>
      </c>
      <c r="AA98" s="248"/>
      <c r="AB98" s="235"/>
      <c r="AC98" s="235"/>
      <c r="AD98" s="233"/>
      <c r="AE98" s="233"/>
      <c r="AF98" s="233"/>
      <c r="AG98" s="233"/>
      <c r="AH98" s="233"/>
      <c r="AI98" s="233"/>
      <c r="AJ98" s="233"/>
      <c r="AK98" s="233"/>
      <c r="AL98" s="233"/>
      <c r="AM98" s="233"/>
      <c r="AN98" s="308"/>
      <c r="AO98" s="308"/>
      <c r="AP98" s="308"/>
      <c r="AQ98" s="308"/>
      <c r="AR98" s="133"/>
      <c r="AV98" s="56"/>
    </row>
    <row r="99" spans="2:48" ht="12" customHeight="1">
      <c r="B99" s="241">
        <f>IF('Filtered Data'!$D$1="MD","",IF('Filtered Data'!$D$1="SC","",IF('Filtered Data'!$D$1="UA",'Filtered Data'!AS18,'Filtered Data'!AL18)))</f>
        <v>8</v>
      </c>
      <c r="C99" s="242"/>
      <c r="D99" s="242"/>
      <c r="E99" s="244" t="str">
        <f>IF(B99="","",IF('Filtered Data'!$D$1="UA",VLOOKUP(B99,'Filtered Data'!AS:AU,2,FALSE),VLOOKUP(B99,'Filtered Data'!AL:AN,2,FALSE)))</f>
        <v>Westmorland &amp; Furness</v>
      </c>
      <c r="F99" s="244"/>
      <c r="G99" s="244"/>
      <c r="H99" s="244"/>
      <c r="I99" s="244"/>
      <c r="J99" s="244"/>
      <c r="K99" s="244"/>
      <c r="L99" s="244"/>
      <c r="M99" s="244"/>
      <c r="N99" s="244"/>
      <c r="O99" s="244"/>
      <c r="P99" s="244"/>
      <c r="Q99" s="244"/>
      <c r="R99" s="244"/>
      <c r="S99" s="244"/>
      <c r="T99" s="244"/>
      <c r="U99" s="238">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30</v>
      </c>
      <c r="V99" s="238"/>
      <c r="W99" s="238"/>
      <c r="X99" s="238"/>
      <c r="Y99" s="133" t="str">
        <f>IF(E99="","",IF((VLOOKUP(E99,classifications!C:K,9,FALSE))="Sparse","S",""))</f>
        <v>S</v>
      </c>
      <c r="AA99" s="248"/>
      <c r="AB99" s="235"/>
      <c r="AC99" s="235"/>
      <c r="AD99" s="233"/>
      <c r="AE99" s="233"/>
      <c r="AF99" s="233"/>
      <c r="AG99" s="233"/>
      <c r="AH99" s="233"/>
      <c r="AI99" s="233"/>
      <c r="AJ99" s="233"/>
      <c r="AK99" s="233"/>
      <c r="AL99" s="233"/>
      <c r="AM99" s="233"/>
      <c r="AN99" s="308"/>
      <c r="AO99" s="308"/>
      <c r="AP99" s="308"/>
      <c r="AQ99" s="308"/>
      <c r="AR99" s="133"/>
      <c r="AV99" s="56"/>
    </row>
    <row r="100" spans="2:48" ht="12" customHeight="1">
      <c r="B100" s="241" t="str">
        <f>IF('Filtered Data'!$D$1="MD","",IF('Filtered Data'!$D$1="SC","",IF('Filtered Data'!$D$1="UA",'Filtered Data'!AS19,'Filtered Data'!AL19)))</f>
        <v/>
      </c>
      <c r="C100" s="242"/>
      <c r="D100" s="24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38"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8"/>
      <c r="W100" s="238"/>
      <c r="X100" s="238"/>
      <c r="Y100" s="133" t="str">
        <f>IF(E100="","",IF((VLOOKUP(E100,classifications!C:K,9,FALSE))="Sparse","S",""))</f>
        <v/>
      </c>
      <c r="AA100" s="248"/>
      <c r="AB100" s="235"/>
      <c r="AC100" s="235"/>
      <c r="AD100" s="233"/>
      <c r="AE100" s="233"/>
      <c r="AF100" s="233"/>
      <c r="AG100" s="233"/>
      <c r="AH100" s="233"/>
      <c r="AI100" s="233"/>
      <c r="AJ100" s="233"/>
      <c r="AK100" s="233"/>
      <c r="AL100" s="233"/>
      <c r="AM100" s="233"/>
      <c r="AN100" s="308"/>
      <c r="AO100" s="308"/>
      <c r="AP100" s="308"/>
      <c r="AQ100" s="308"/>
      <c r="AR100" s="133"/>
      <c r="AV100" s="56"/>
    </row>
    <row r="101" spans="2:48" ht="12" customHeight="1">
      <c r="B101" s="241" t="str">
        <f>IF('Filtered Data'!$D$1="MD","",IF('Filtered Data'!$D$1="SC","",IF('Filtered Data'!$D$1="UA",'Filtered Data'!AS20,'Filtered Data'!AL20)))</f>
        <v/>
      </c>
      <c r="C101" s="242"/>
      <c r="D101" s="24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38"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8"/>
      <c r="W101" s="238"/>
      <c r="X101" s="238"/>
      <c r="Y101" s="133" t="str">
        <f>IF(E101="","",IF((VLOOKUP(E101,classifications!C:K,9,FALSE))="Sparse","S",""))</f>
        <v/>
      </c>
      <c r="AA101" s="248"/>
      <c r="AB101" s="235"/>
      <c r="AC101" s="235"/>
      <c r="AD101" s="233"/>
      <c r="AE101" s="233"/>
      <c r="AF101" s="233"/>
      <c r="AG101" s="233"/>
      <c r="AH101" s="233"/>
      <c r="AI101" s="233"/>
      <c r="AJ101" s="233"/>
      <c r="AK101" s="233"/>
      <c r="AL101" s="233"/>
      <c r="AM101" s="233"/>
      <c r="AN101" s="308"/>
      <c r="AO101" s="308"/>
      <c r="AP101" s="308"/>
      <c r="AQ101" s="308"/>
      <c r="AR101" s="133"/>
      <c r="AV101" s="56"/>
    </row>
    <row r="102" spans="2:48" ht="12" customHeight="1">
      <c r="B102" s="241" t="str">
        <f>IF('Filtered Data'!$D$1="MD","",IF('Filtered Data'!$D$1="SC","",IF('Filtered Data'!$D$1="UA",'Filtered Data'!AS21,'Filtered Data'!AL21)))</f>
        <v/>
      </c>
      <c r="C102" s="242"/>
      <c r="D102" s="24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38"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8"/>
      <c r="W102" s="238"/>
      <c r="X102" s="238"/>
      <c r="Y102" s="133" t="str">
        <f>IF(E102="","",IF((VLOOKUP(E102,classifications!C:K,9,FALSE))="Sparse","S",""))</f>
        <v/>
      </c>
      <c r="AA102" s="248"/>
      <c r="AB102" s="235"/>
      <c r="AC102" s="235"/>
      <c r="AD102" s="233"/>
      <c r="AE102" s="233"/>
      <c r="AF102" s="233"/>
      <c r="AG102" s="233"/>
      <c r="AH102" s="233"/>
      <c r="AI102" s="233"/>
      <c r="AJ102" s="233"/>
      <c r="AK102" s="233"/>
      <c r="AL102" s="233"/>
      <c r="AM102" s="233"/>
      <c r="AN102" s="308"/>
      <c r="AO102" s="308"/>
      <c r="AP102" s="308"/>
      <c r="AQ102" s="308"/>
      <c r="AR102" s="133"/>
      <c r="AV102" s="56"/>
    </row>
    <row r="103" spans="2:48" ht="12" customHeight="1">
      <c r="B103" s="241" t="str">
        <f>IF('Filtered Data'!$D$1="MD","",IF('Filtered Data'!$D$1="SC","",IF('Filtered Data'!$D$1="UA",'Filtered Data'!AS22,'Filtered Data'!AL22)))</f>
        <v/>
      </c>
      <c r="C103" s="242"/>
      <c r="D103" s="24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3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8"/>
      <c r="W103" s="238"/>
      <c r="X103" s="238"/>
      <c r="Y103" s="133" t="str">
        <f>IF(E103="","",IF((VLOOKUP(E103,classifications!C:K,9,FALSE))="Sparse","S",""))</f>
        <v/>
      </c>
      <c r="AA103" s="248"/>
      <c r="AB103" s="235"/>
      <c r="AC103" s="235"/>
      <c r="AD103" s="233"/>
      <c r="AE103" s="233"/>
      <c r="AF103" s="233"/>
      <c r="AG103" s="233"/>
      <c r="AH103" s="233"/>
      <c r="AI103" s="233"/>
      <c r="AJ103" s="233"/>
      <c r="AK103" s="233"/>
      <c r="AL103" s="233"/>
      <c r="AM103" s="233"/>
      <c r="AN103" s="308"/>
      <c r="AO103" s="308"/>
      <c r="AP103" s="308"/>
      <c r="AQ103" s="308"/>
      <c r="AR103" s="133"/>
      <c r="AV103" s="56"/>
    </row>
    <row r="104" spans="2:48" ht="12" customHeight="1">
      <c r="B104" s="241" t="str">
        <f>IF('Filtered Data'!$D$1="MD","",IF('Filtered Data'!$D$1="SC","",IF('Filtered Data'!$D$1="UA",'Filtered Data'!AS23,'Filtered Data'!AL23)))</f>
        <v/>
      </c>
      <c r="C104" s="242"/>
      <c r="D104" s="24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3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8"/>
      <c r="W104" s="238"/>
      <c r="X104" s="238"/>
      <c r="Y104" s="133" t="str">
        <f>IF(E104="","",IF((VLOOKUP(E104,classifications!C:K,9,FALSE))="Sparse","S",""))</f>
        <v/>
      </c>
      <c r="AA104" s="248"/>
      <c r="AB104" s="235"/>
      <c r="AC104" s="235"/>
      <c r="AD104" s="233"/>
      <c r="AE104" s="233"/>
      <c r="AF104" s="233"/>
      <c r="AG104" s="233"/>
      <c r="AH104" s="233"/>
      <c r="AI104" s="233"/>
      <c r="AJ104" s="233"/>
      <c r="AK104" s="233"/>
      <c r="AL104" s="233"/>
      <c r="AM104" s="233"/>
      <c r="AN104" s="308"/>
      <c r="AO104" s="308"/>
      <c r="AP104" s="308"/>
      <c r="AQ104" s="308"/>
      <c r="AR104" s="133"/>
      <c r="AV104" s="56"/>
    </row>
    <row r="105" spans="2:48" ht="12" customHeight="1">
      <c r="B105" s="241" t="str">
        <f>IF('Filtered Data'!$D$1="MD","",IF('Filtered Data'!$D$1="SC","",IF('Filtered Data'!$D$1="UA",'Filtered Data'!AS24,'Filtered Data'!AL24)))</f>
        <v/>
      </c>
      <c r="C105" s="242"/>
      <c r="D105" s="24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3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8"/>
      <c r="W105" s="238"/>
      <c r="X105" s="238"/>
      <c r="Y105" s="133" t="str">
        <f>IF(E105="","",IF((VLOOKUP(E105,classifications!C:K,9,FALSE))="Sparse","S",""))</f>
        <v/>
      </c>
      <c r="AA105" s="248"/>
      <c r="AB105" s="235"/>
      <c r="AC105" s="235"/>
      <c r="AD105" s="233"/>
      <c r="AE105" s="233"/>
      <c r="AF105" s="233"/>
      <c r="AG105" s="233"/>
      <c r="AH105" s="233"/>
      <c r="AI105" s="233"/>
      <c r="AJ105" s="233"/>
      <c r="AK105" s="233"/>
      <c r="AL105" s="233"/>
      <c r="AM105" s="233"/>
      <c r="AN105" s="308"/>
      <c r="AO105" s="308"/>
      <c r="AP105" s="308"/>
      <c r="AQ105" s="308"/>
      <c r="AR105" s="133"/>
      <c r="AV105" s="56"/>
    </row>
    <row r="106" spans="2:48" ht="12" customHeight="1">
      <c r="B106" s="241" t="str">
        <f>IF('Filtered Data'!$D$1="MD","",IF('Filtered Data'!$D$1="SC","",IF('Filtered Data'!$D$1="UA",'Filtered Data'!AS25,'Filtered Data'!AL25)))</f>
        <v/>
      </c>
      <c r="C106" s="242"/>
      <c r="D106" s="24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3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8"/>
      <c r="W106" s="238"/>
      <c r="X106" s="238"/>
      <c r="Y106" s="133" t="str">
        <f>IF(E106="","",IF((VLOOKUP(E106,classifications!C:K,9,FALSE))="Sparse","S",""))</f>
        <v/>
      </c>
      <c r="AA106" s="248"/>
      <c r="AB106" s="235"/>
      <c r="AC106" s="235"/>
      <c r="AD106" s="233"/>
      <c r="AE106" s="233"/>
      <c r="AF106" s="233"/>
      <c r="AG106" s="233"/>
      <c r="AH106" s="233"/>
      <c r="AI106" s="233"/>
      <c r="AJ106" s="233"/>
      <c r="AK106" s="233"/>
      <c r="AL106" s="233"/>
      <c r="AM106" s="233"/>
      <c r="AN106" s="308"/>
      <c r="AO106" s="308"/>
      <c r="AP106" s="308"/>
      <c r="AQ106" s="308"/>
      <c r="AR106" s="133"/>
      <c r="AV106" s="56"/>
    </row>
    <row r="107" spans="2:48" ht="12" customHeight="1">
      <c r="B107" s="241" t="str">
        <f>IF('Filtered Data'!$D$1="MD","",IF('Filtered Data'!$D$1="SC","",IF('Filtered Data'!$D$1="UA",'Filtered Data'!AS26,'Filtered Data'!AL26)))</f>
        <v/>
      </c>
      <c r="C107" s="242"/>
      <c r="D107" s="24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3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8"/>
      <c r="W107" s="238"/>
      <c r="X107" s="238"/>
      <c r="Y107" s="133" t="str">
        <f>IF(E107="","",IF((VLOOKUP(E107,classifications!C:K,9,FALSE))="Sparse","S",""))</f>
        <v/>
      </c>
      <c r="AA107" s="248"/>
      <c r="AB107" s="235"/>
      <c r="AC107" s="235"/>
      <c r="AD107" s="233"/>
      <c r="AE107" s="233"/>
      <c r="AF107" s="233"/>
      <c r="AG107" s="233"/>
      <c r="AH107" s="233"/>
      <c r="AI107" s="233"/>
      <c r="AJ107" s="233"/>
      <c r="AK107" s="233"/>
      <c r="AL107" s="233"/>
      <c r="AM107" s="233"/>
      <c r="AN107" s="308"/>
      <c r="AO107" s="308"/>
      <c r="AP107" s="308"/>
      <c r="AQ107" s="308"/>
      <c r="AR107" s="133"/>
      <c r="AV107" s="56"/>
    </row>
    <row r="108" spans="2:48" ht="12" customHeight="1">
      <c r="B108" s="235"/>
      <c r="C108" s="235"/>
      <c r="D108" s="235"/>
      <c r="E108" s="234" t="str">
        <f>IF('Filtered Data'!D1="MD","",IF('Filtered Data'!D1="SC","","Average"))</f>
        <v>Average</v>
      </c>
      <c r="F108" s="234"/>
      <c r="G108" s="234"/>
      <c r="H108" s="234"/>
      <c r="I108" s="234"/>
      <c r="J108" s="234"/>
      <c r="K108" s="234"/>
      <c r="L108" s="234"/>
      <c r="M108" s="234"/>
      <c r="N108" s="234"/>
      <c r="O108" s="230"/>
      <c r="P108" s="230"/>
      <c r="Q108" s="230"/>
      <c r="R108" s="230"/>
      <c r="S108" s="230"/>
      <c r="T108" s="230"/>
      <c r="U108" s="247">
        <f>L39</f>
        <v>20.25</v>
      </c>
      <c r="V108" s="247"/>
      <c r="W108" s="247"/>
      <c r="X108" s="247"/>
      <c r="Y108" s="133"/>
      <c r="AA108" s="235"/>
      <c r="AB108" s="235"/>
      <c r="AC108" s="235"/>
      <c r="AD108" s="1"/>
      <c r="AE108" s="1"/>
      <c r="AF108" s="1"/>
      <c r="AG108" s="1"/>
      <c r="AH108" s="1"/>
      <c r="AI108" s="1"/>
      <c r="AJ108" s="1"/>
      <c r="AK108" s="1"/>
      <c r="AL108" s="1"/>
      <c r="AM108" s="21"/>
      <c r="AN108" s="236"/>
      <c r="AO108" s="236"/>
      <c r="AP108" s="236"/>
      <c r="AQ108" s="236"/>
      <c r="AV108" s="56"/>
    </row>
    <row r="109" spans="2:48" ht="12" customHeight="1">
      <c r="W109" s="18">
        <f>COUNT(AA92:AB107)</f>
        <v>0</v>
      </c>
    </row>
    <row r="110" spans="2:48" ht="19.5" customHeight="1">
      <c r="B110" s="237" t="str">
        <f>B3</f>
        <v>Speed of Processing</v>
      </c>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row>
    <row r="111" spans="2:48" ht="12" customHeight="1"/>
    <row r="112" spans="2:48" ht="12" customHeight="1">
      <c r="B112" s="234" t="s">
        <v>370</v>
      </c>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row>
    <row r="113" spans="2:40" ht="12" customHeight="1"/>
    <row r="114" spans="2:40" ht="12" customHeight="1">
      <c r="B114" s="293" t="str">
        <f>W6&amp;" - "&amp;W12</f>
        <v>Housing Benefit - New Claims - Q4 2023/24</v>
      </c>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0"/>
    </row>
    <row r="115" spans="2:40" ht="12" customHeight="1">
      <c r="B115" s="296"/>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311">
        <f>IF('Filtered Data'!H8="..",L35,L35*100)</f>
        <v>20</v>
      </c>
      <c r="H118" s="311"/>
      <c r="I118" s="311"/>
      <c r="J118" s="311"/>
      <c r="K118" s="311"/>
      <c r="M118" s="235">
        <f>K$48</f>
        <v>14</v>
      </c>
      <c r="N118" s="235"/>
      <c r="O118" s="235">
        <f>M$48</f>
        <v>20</v>
      </c>
      <c r="P118" s="235"/>
      <c r="Q118" s="235">
        <f>O$48</f>
        <v>24.75</v>
      </c>
      <c r="R118" s="235"/>
      <c r="AN118" s="6"/>
    </row>
    <row r="119" spans="2:40" ht="12" customHeight="1">
      <c r="B119" s="5"/>
      <c r="F119" t="s">
        <v>380</v>
      </c>
      <c r="G119" s="311">
        <f>IF('Filtered Data'!H8="%%",(AVERAGEIF('Filtered Data'!AA$10:AA$333,$F119,'Filtered Data'!M$10:M$333))*100,(AVERAGEIF('Filtered Data'!AA$10:AA$333,$F119,'Filtered Data'!M$10:M$333)))</f>
        <v>20.399999999999999</v>
      </c>
      <c r="H119" s="311"/>
      <c r="I119" s="311"/>
      <c r="J119" s="311"/>
      <c r="K119" s="311"/>
      <c r="M119" s="235">
        <f>K$48</f>
        <v>14</v>
      </c>
      <c r="N119" s="235"/>
      <c r="O119" s="235">
        <f>M$48</f>
        <v>20</v>
      </c>
      <c r="P119" s="235"/>
      <c r="Q119" s="235">
        <f>O$48</f>
        <v>24.75</v>
      </c>
      <c r="R119" s="235"/>
      <c r="AN119" s="6"/>
    </row>
    <row r="120" spans="2:40" ht="12" customHeight="1">
      <c r="B120" s="5"/>
      <c r="F120" t="s">
        <v>382</v>
      </c>
      <c r="G120" s="311">
        <f>IF('Filtered Data'!H8="%%",(AVERAGEIF('Filtered Data'!AA$10:AA$333,$F120,'Filtered Data'!M$10:M$333))*100,(AVERAGEIF('Filtered Data'!AA$10:AA$333,$F120,'Filtered Data'!M$10:M$333)))</f>
        <v>18.833333333333332</v>
      </c>
      <c r="H120" s="311"/>
      <c r="I120" s="311"/>
      <c r="J120" s="311"/>
      <c r="K120" s="311"/>
      <c r="M120" s="235">
        <f>K$48</f>
        <v>14</v>
      </c>
      <c r="N120" s="235"/>
      <c r="O120" s="235">
        <f>M$48</f>
        <v>20</v>
      </c>
      <c r="P120" s="235"/>
      <c r="Q120" s="235">
        <f>O$48</f>
        <v>24.75</v>
      </c>
      <c r="R120" s="235"/>
      <c r="AN120" s="6"/>
    </row>
    <row r="121" spans="2:40" ht="12" customHeight="1">
      <c r="B121" s="5"/>
      <c r="F121" t="s">
        <v>889</v>
      </c>
      <c r="G121" s="311">
        <f>IF('Filtered Data'!H8="%%",(AVERAGEIF('Filtered Data'!AA$10:AA$333,$F121,'Filtered Data'!M$10:M$333))*100,(AVERAGEIF('Filtered Data'!AA$10:AA$333,$F121,'Filtered Data'!M$10:M$333)))</f>
        <v>22.181818181818183</v>
      </c>
      <c r="H121" s="311"/>
      <c r="I121" s="311"/>
      <c r="J121" s="311"/>
      <c r="K121" s="311"/>
      <c r="M121" s="235">
        <f>K$48</f>
        <v>14</v>
      </c>
      <c r="N121" s="235"/>
      <c r="O121" s="235">
        <f>M$48</f>
        <v>20</v>
      </c>
      <c r="P121" s="235"/>
      <c r="Q121" s="235">
        <f>O$48</f>
        <v>24.75</v>
      </c>
      <c r="R121" s="235"/>
      <c r="AN121" s="6"/>
    </row>
    <row r="122" spans="2:40" ht="12" customHeight="1">
      <c r="B122" s="5"/>
      <c r="G122" s="311"/>
      <c r="H122" s="311"/>
      <c r="I122" s="311"/>
      <c r="J122" s="311"/>
      <c r="K122" s="311"/>
      <c r="M122" s="235"/>
      <c r="N122" s="235"/>
      <c r="O122" s="235"/>
      <c r="P122" s="235"/>
      <c r="Q122" s="235"/>
      <c r="R122" s="235"/>
      <c r="AN122" s="6"/>
    </row>
    <row r="123" spans="2:40" ht="12" customHeight="1">
      <c r="B123" s="5"/>
      <c r="G123" s="311"/>
      <c r="H123" s="311"/>
      <c r="I123" s="311"/>
      <c r="J123" s="311"/>
      <c r="K123" s="311"/>
      <c r="M123" s="235"/>
      <c r="N123" s="235"/>
      <c r="O123" s="235"/>
      <c r="P123" s="235"/>
      <c r="Q123" s="235"/>
      <c r="R123" s="235"/>
      <c r="AN123" s="6"/>
    </row>
    <row r="124" spans="2:40" ht="12" customHeight="1">
      <c r="B124" s="5"/>
      <c r="G124" s="311"/>
      <c r="H124" s="311"/>
      <c r="I124" s="311"/>
      <c r="J124" s="311"/>
      <c r="K124" s="311"/>
      <c r="M124" s="235"/>
      <c r="N124" s="235"/>
      <c r="O124" s="235"/>
      <c r="P124" s="235"/>
      <c r="Q124" s="235"/>
      <c r="R124" s="23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904</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312"/>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4"/>
    </row>
    <row r="140" spans="2:40">
      <c r="B140" s="312"/>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4"/>
    </row>
    <row r="141" spans="2:40">
      <c r="B141" s="312"/>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4"/>
    </row>
    <row r="142" spans="2:40">
      <c r="B142" s="312"/>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4"/>
    </row>
    <row r="143" spans="2:40">
      <c r="B143" s="312"/>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3"/>
      <c r="AJ143" s="313"/>
      <c r="AK143" s="313"/>
      <c r="AL143" s="313"/>
      <c r="AM143" s="313"/>
      <c r="AN143" s="314"/>
    </row>
    <row r="144" spans="2:40">
      <c r="B144" s="312"/>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3"/>
      <c r="AJ144" s="313"/>
      <c r="AK144" s="313"/>
      <c r="AL144" s="313"/>
      <c r="AM144" s="313"/>
      <c r="AN144" s="314"/>
    </row>
    <row r="145" spans="2:40">
      <c r="B145" s="312"/>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4"/>
    </row>
    <row r="146" spans="2:40">
      <c r="B146" s="312"/>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4"/>
    </row>
    <row r="147" spans="2:40">
      <c r="B147" s="312"/>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4"/>
    </row>
    <row r="148" spans="2:40">
      <c r="B148" s="312"/>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3"/>
      <c r="AJ148" s="313"/>
      <c r="AK148" s="313"/>
      <c r="AL148" s="313"/>
      <c r="AM148" s="313"/>
      <c r="AN148" s="314"/>
    </row>
    <row r="149" spans="2:40">
      <c r="B149" s="312"/>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3"/>
      <c r="AJ149" s="313"/>
      <c r="AK149" s="313"/>
      <c r="AL149" s="313"/>
      <c r="AM149" s="313"/>
      <c r="AN149" s="314"/>
    </row>
    <row r="150" spans="2:40">
      <c r="B150" s="312"/>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4"/>
    </row>
    <row r="151" spans="2:40">
      <c r="B151" s="312"/>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c r="AA151" s="313"/>
      <c r="AB151" s="313"/>
      <c r="AC151" s="313"/>
      <c r="AD151" s="313"/>
      <c r="AE151" s="313"/>
      <c r="AF151" s="313"/>
      <c r="AG151" s="313"/>
      <c r="AH151" s="313"/>
      <c r="AI151" s="313"/>
      <c r="AJ151" s="313"/>
      <c r="AK151" s="313"/>
      <c r="AL151" s="313"/>
      <c r="AM151" s="313"/>
      <c r="AN151" s="314"/>
    </row>
    <row r="152" spans="2:40">
      <c r="B152" s="312"/>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c r="AA152" s="313"/>
      <c r="AB152" s="313"/>
      <c r="AC152" s="313"/>
      <c r="AD152" s="313"/>
      <c r="AE152" s="313"/>
      <c r="AF152" s="313"/>
      <c r="AG152" s="313"/>
      <c r="AH152" s="313"/>
      <c r="AI152" s="313"/>
      <c r="AJ152" s="313"/>
      <c r="AK152" s="313"/>
      <c r="AL152" s="313"/>
      <c r="AM152" s="313"/>
      <c r="AN152" s="314"/>
    </row>
    <row r="153" spans="2:40">
      <c r="B153" s="312"/>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4"/>
    </row>
    <row r="154" spans="2:40">
      <c r="B154" s="312"/>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c r="AA154" s="313"/>
      <c r="AB154" s="313"/>
      <c r="AC154" s="313"/>
      <c r="AD154" s="313"/>
      <c r="AE154" s="313"/>
      <c r="AF154" s="313"/>
      <c r="AG154" s="313"/>
      <c r="AH154" s="313"/>
      <c r="AI154" s="313"/>
      <c r="AJ154" s="313"/>
      <c r="AK154" s="313"/>
      <c r="AL154" s="313"/>
      <c r="AM154" s="313"/>
      <c r="AN154" s="314"/>
    </row>
    <row r="155" spans="2:40">
      <c r="B155" s="312"/>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4"/>
    </row>
    <row r="156" spans="2:40">
      <c r="B156" s="312"/>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4"/>
    </row>
    <row r="157" spans="2:40">
      <c r="B157" s="312"/>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4"/>
    </row>
    <row r="158" spans="2:40">
      <c r="B158" s="312"/>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4"/>
    </row>
    <row r="159" spans="2:40">
      <c r="B159" s="312"/>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3"/>
      <c r="AJ159" s="313"/>
      <c r="AK159" s="313"/>
      <c r="AL159" s="313"/>
      <c r="AM159" s="313"/>
      <c r="AN159" s="314"/>
    </row>
    <row r="160" spans="2:40">
      <c r="B160" s="312"/>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3"/>
      <c r="AJ160" s="313"/>
      <c r="AK160" s="313"/>
      <c r="AL160" s="313"/>
      <c r="AM160" s="313"/>
      <c r="AN160" s="314"/>
    </row>
    <row r="161" spans="2:40">
      <c r="B161" s="312"/>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4"/>
    </row>
    <row r="162" spans="2:40">
      <c r="B162" s="312"/>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3"/>
      <c r="AJ162" s="313"/>
      <c r="AK162" s="313"/>
      <c r="AL162" s="313"/>
      <c r="AM162" s="313"/>
      <c r="AN162" s="314"/>
    </row>
    <row r="163" spans="2:40">
      <c r="B163" s="312"/>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3"/>
      <c r="AJ163" s="313"/>
      <c r="AK163" s="313"/>
      <c r="AL163" s="313"/>
      <c r="AM163" s="313"/>
      <c r="AN163" s="314"/>
    </row>
    <row r="164" spans="2:40">
      <c r="B164" s="312"/>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4"/>
    </row>
    <row r="165" spans="2:40">
      <c r="B165" s="312"/>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c r="AA165" s="313"/>
      <c r="AB165" s="313"/>
      <c r="AC165" s="313"/>
      <c r="AD165" s="313"/>
      <c r="AE165" s="313"/>
      <c r="AF165" s="313"/>
      <c r="AG165" s="313"/>
      <c r="AH165" s="313"/>
      <c r="AI165" s="313"/>
      <c r="AJ165" s="313"/>
      <c r="AK165" s="313"/>
      <c r="AL165" s="313"/>
      <c r="AM165" s="313"/>
      <c r="AN165" s="314"/>
    </row>
    <row r="166" spans="2:40">
      <c r="B166" s="312"/>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4"/>
    </row>
    <row r="167" spans="2:40">
      <c r="B167" s="312"/>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c r="AA167" s="313"/>
      <c r="AB167" s="313"/>
      <c r="AC167" s="313"/>
      <c r="AD167" s="313"/>
      <c r="AE167" s="313"/>
      <c r="AF167" s="313"/>
      <c r="AG167" s="313"/>
      <c r="AH167" s="313"/>
      <c r="AI167" s="313"/>
      <c r="AJ167" s="313"/>
      <c r="AK167" s="313"/>
      <c r="AL167" s="313"/>
      <c r="AM167" s="313"/>
      <c r="AN167" s="314"/>
    </row>
    <row r="168" spans="2:40" ht="13.8" thickBot="1">
      <c r="B168" s="315"/>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I168" s="316"/>
      <c r="AJ168" s="316"/>
      <c r="AK168" s="316"/>
      <c r="AL168" s="316"/>
      <c r="AM168" s="316"/>
      <c r="AN168" s="317"/>
    </row>
    <row r="169" spans="2:40"/>
  </sheetData>
  <sheetProtection algorithmName="SHA-512" hashValue="Y9lNujEK4C7rOiMx8QSZqpT55mvFGe/3tUfEd3KTcMJEccZiaFcwtxkABEIwrRVQLlHGQjerytPESmEQ0dDejA==" saltValue="N9uFoIiUDY0tkbH6S6w+Xw=="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Q4 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6</v>
      </c>
      <c r="Q7" s="101">
        <f>IF(I8="A",MAX(N11:N333),MIN(N11:N333))</f>
        <v>48</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Cheshire East</v>
      </c>
      <c r="Q8" s="102">
        <f>VLOOKUP(D3,L11:N333,3,FALSE)</f>
        <v>20</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19.806451612903224</v>
      </c>
      <c r="N9" s="81"/>
      <c r="O9" s="84" t="s">
        <v>340</v>
      </c>
      <c r="P9" s="84" t="s">
        <v>351</v>
      </c>
      <c r="Q9" s="84" t="s">
        <v>352</v>
      </c>
      <c r="R9" s="86" t="s">
        <v>399</v>
      </c>
      <c r="S9" s="36"/>
      <c r="T9" s="168" t="s">
        <v>819</v>
      </c>
      <c r="U9" s="169">
        <f>IF($H$8="%.",(AVERAGE(U11:U333))/100,(AVERAGE(U11:U333)))</f>
        <v>21.333333333333332</v>
      </c>
      <c r="V9" s="170"/>
      <c r="W9" s="170"/>
      <c r="X9" s="79" t="str">
        <f>"Lower Level Ranking for Authorites in "&amp;H3&amp;" &amp; are a "&amp;F3</f>
        <v>Lower Level Ranking for Authorites in Urban with Significant Rural &amp; are a UA</v>
      </c>
      <c r="Y9" s="81">
        <f>IF($H$8="%.",(AVERAGE(Y11:Y333))/100,(AVERAGE(Y11:Y333)))</f>
        <v>21.565217391304348</v>
      </c>
      <c r="Z9" s="80"/>
      <c r="AA9" s="175" t="s">
        <v>378</v>
      </c>
      <c r="AB9" s="169">
        <f>IF($H$8="%.",(AVERAGE(AB11:AB333))/100,(AVERAGE(AB11:AB333)))</f>
        <v>22.181818181818183</v>
      </c>
      <c r="AC9" s="176"/>
      <c r="AD9" s="176"/>
      <c r="AE9" s="37" t="s">
        <v>408</v>
      </c>
      <c r="AG9" s="81">
        <f>IF($H$8="%.",(AVERAGE(AG11:AG333))/100,(AVERAGE(AG11:AG333)))</f>
        <v>21.993690851735014</v>
      </c>
      <c r="AI9" s="79" t="str">
        <f>"County Ranking &amp; Top Authorites in "&amp;I3&amp;" &amp; are a "&amp;F3</f>
        <v>County Ranking &amp; Top Authorites in Unitary &amp; are a UA</v>
      </c>
      <c r="AJ9" s="81">
        <f>IF($H$8="%.",(AVERAGE(AJ11:AJ333))/100,(AVERAGE(AJ11:AJ333)))</f>
        <v>19.806451612903224</v>
      </c>
      <c r="AK9" s="80"/>
      <c r="AL9" s="44"/>
      <c r="AM9"/>
      <c r="AN9"/>
      <c r="AP9" s="79" t="str">
        <f>"Regional Ranking in for "&amp;F3</f>
        <v>Regional Ranking in for UA</v>
      </c>
      <c r="AQ9" s="81">
        <f>IF($H$8="%.",(AVERAGE(AQ11:AQ333))/100,(AVERAGE(AQ11:AQ333)))</f>
        <v>20.25</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14</v>
      </c>
      <c r="P10" s="88">
        <f>QUARTILE(N:N,2)</f>
        <v>20</v>
      </c>
      <c r="Q10" s="88">
        <f>IF(I8="A",QUARTILE(N:N,3),QUARTILE(N:N,1))</f>
        <v>24.75</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Q4 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25</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North Somerset</v>
      </c>
      <c r="M11" s="109">
        <f t="shared" ref="M11:M74" si="3">IF(L11="","",IF(VLOOKUP(L11,C:D,2,FALSE)=$F$3,VLOOKUP(L11,C:H,6,FALSE),""))</f>
        <v>6</v>
      </c>
      <c r="N11" s="104">
        <f>IF(L11="","",IF($H$8="%%",M11*100,M11))</f>
        <v>6</v>
      </c>
      <c r="O11" s="89">
        <f>IF(I$8="A",IF(N11&gt;=$P$7,IF(N11&lt;=$O$10,N11,""),""),IF(N11&lt;=$P$7,IF(N11&gt;=$O$10,N11,""),""))</f>
        <v>6</v>
      </c>
      <c r="P11" s="89" t="str">
        <f>IF(I$8="A",IF(N11&gt;$O$10,IF(N11&lt;=$P$10,N11,""),""),IF(N11&lt;$O$10,IF(N11&gt;=$P$10,N11,""),""))</f>
        <v/>
      </c>
      <c r="Q11" s="89" t="str">
        <f>IF(I$8="A",IF(N11&gt;$P$10,IF(N11&lt;=$Q$10,N11,""),""),IF(N11&lt;$P$10,IF(N11&gt;=$Q$10,N11,""),""))</f>
        <v/>
      </c>
      <c r="R11" s="85" t="str">
        <f>IF(I$8="A",IF(N11&gt;$Q$10,N11,""),IF(N11&lt;$Q$10,N11,""))</f>
        <v/>
      </c>
      <c r="S11" s="41" t="str">
        <f>IF(L11=D$3,"u","")</f>
        <v/>
      </c>
      <c r="T11" s="166" t="str">
        <f>IF(L11="","",VLOOKUP(L11,classifications!C:K,9,FALSE))</f>
        <v>Sparse</v>
      </c>
      <c r="U11" s="167">
        <f>IF(T11="Sparse",M11,"")</f>
        <v>6</v>
      </c>
      <c r="V11" s="173">
        <f>IF(U11="","",IF($I$8="A",(RANK(U11,U$11:U$333)+COUNTIF(U$11:U11,U11)-1),(RANK(U11,U$11:U$333,1)+COUNTIF(U$11:U11,U11)-1)))</f>
        <v>15</v>
      </c>
      <c r="W11" s="174"/>
      <c r="X11" s="5" t="str">
        <f>IF(L11="","",VLOOKUP($L11,classifications!$C:$J,6,FALSE))</f>
        <v>Urban with Significant Rural</v>
      </c>
      <c r="Y11">
        <f t="shared" ref="Y11:Y12" si="4">IF($D$1="UA",IF(X11="Predominantly Rural ",M11,IF(X11="Predominantly Rural ",M11,IF(X11="Urban with Significant Rural",M11,""))),IF($D$1="SD",IF(X11=$H$3,M11,"")))</f>
        <v>6</v>
      </c>
      <c r="Z11" s="39">
        <f>IF(Y11="","",IF(I$8="A",(RANK(Y11,Y$11:Y$333,1)+COUNTIF(Y$11:Y11,Y11)-1),(RANK(Y11,Y$11:Y$333)+COUNTIF(Y$11:Y11,Y11)-1)))</f>
        <v>1</v>
      </c>
      <c r="AA11" s="177" t="str">
        <f>IF(L11="","",VLOOKUP($L11,classifications!C:I,7,FALSE))</f>
        <v>Urban with Significant Rural</v>
      </c>
      <c r="AB11" s="173">
        <f>IF(AA11=$J$3,M11,"")</f>
        <v>6</v>
      </c>
      <c r="AC11" s="173">
        <f>IF(AB11="","",IF($I$8="A",(RANK(AB11,AB$11:AB$333)+COUNTIF(AB$11:AB11,AB11)-1),(RANK(AB11,AB$11:AB$333,1)+COUNTIF(AB$11:AB11,AB11)-1)))</f>
        <v>11</v>
      </c>
      <c r="AD11" s="173"/>
      <c r="AE11" s="45">
        <f>IF(I$8="A",(RANK(AG11,AG$11:AG$333,1)+COUNTIF(AG$11:AG11,AG11)-1),(RANK(AG11,AG$11:AG$333)+COUNTIF(AG$11:AG11,AG11)-1))</f>
        <v>1</v>
      </c>
      <c r="AF11" s="43" t="str">
        <f>'Filtered Data'!D3</f>
        <v>Cheshire East</v>
      </c>
      <c r="AG11" s="99">
        <f>VLOOKUP(Profile!$J$5,$C$11:$H$333,4,FALSE)</f>
        <v>20</v>
      </c>
      <c r="AH11" s="46">
        <f>AE11</f>
        <v>1</v>
      </c>
      <c r="AI11" s="5" t="str">
        <f>IF(L11="","",VLOOKUP($L11,classifications!$C:$J,8,FALSE))</f>
        <v>Unitary</v>
      </c>
      <c r="AJ11" s="42">
        <f t="shared" ref="AJ11:AJ12" si="5">IF(AI11=$I$3,M11,"")</f>
        <v>6</v>
      </c>
      <c r="AK11" s="39">
        <f>IF(AJ11="","",IF(I$8="A",(RANK(AJ11,AJ$11:AJ$333,1)+COUNTIF(AJ$11:AJ11,AJ11)-1),(RANK(AJ11,AJ$11:AJ$333)+COUNTIF(AJ$11:AJ11,AJ11)-1)))</f>
        <v>1</v>
      </c>
      <c r="AL11" s="39">
        <v>1</v>
      </c>
      <c r="AM11" t="str">
        <f t="shared" ref="AM11:AM74" si="6">IF(ISNA(IF(AL11="","",INDEX(L$11:L$333,MATCH(AL11,AK$11:AK$333,0)))),"",(IF(AL11="","",INDEX(L$11:L$333,MATCH(AL11,AK$11:AK$333,0)))))</f>
        <v>North Somerset</v>
      </c>
      <c r="AN11">
        <f t="shared" ref="AN11:AN74" si="7">(VLOOKUP(AM11,L:M,2,FALSE))</f>
        <v>6</v>
      </c>
      <c r="AP11" s="5" t="str">
        <f>IF(L11="","",VLOOKUP($L11,classifications!$C:$E,3,FALSE))</f>
        <v>South West</v>
      </c>
      <c r="AQ11" s="42" t="str">
        <f>IF(AP11=$G$3,$M11,"")</f>
        <v/>
      </c>
      <c r="AR11" s="39" t="str">
        <f>IF(AQ11="","",IF(I$8="A",(RANK(AQ11,AQ$11:AQ$333,1)+COUNTIF(AQ$11:AQ11,AQ11)-1),(RANK(AQ11,AQ$11:AQ$333)+COUNTIF(AQ$11:AQ11,AQ11)-1)))</f>
        <v/>
      </c>
      <c r="AS11" s="39">
        <v>1</v>
      </c>
      <c r="AT11" s="39" t="str">
        <f t="shared" ref="AT11:AT74" si="8">IF(AS11="","",INDEX(L$11:L$333,MATCH(AS11,AR$11:AR$333,0)))</f>
        <v>Blackburn with Darwen</v>
      </c>
      <c r="AU11" s="42">
        <f t="shared" ref="AU11:AU74" si="9">IF(AT11="","",VLOOKUP(AT11,L:M,2,FALSE))</f>
        <v>10</v>
      </c>
      <c r="AX11">
        <f>HLOOKUP($AX$9&amp;$AX$10,Data!$A$1:$ZT$1975,(MATCH($C11,Data!$A$1:$A$1975,0)),FALSE)</f>
        <v>25</v>
      </c>
    </row>
    <row r="12" spans="1:735">
      <c r="A12" s="55" t="str">
        <f>$D$1&amp;2</f>
        <v>UA2</v>
      </c>
      <c r="B12" s="56" t="str">
        <f>IF(ISERROR(VLOOKUP(A12,classifications!A:C,3,FALSE)),0,VLOOKUP(A12,classifications!A:C,3,FALSE))</f>
        <v>Cornwall</v>
      </c>
      <c r="C12" t="s">
        <v>896</v>
      </c>
      <c r="D12" t="str">
        <f>VLOOKUP($C12,classifications!$C:$J,4,FALSE)</f>
        <v>UA</v>
      </c>
      <c r="E12" t="str">
        <f>VLOOKUP(C12,classifications!C:K,9,FALSE)</f>
        <v>Sparse</v>
      </c>
      <c r="F12">
        <f t="shared" si="0"/>
        <v>25</v>
      </c>
      <c r="G12" s="15"/>
      <c r="H12" s="41">
        <f t="shared" si="1"/>
        <v>25</v>
      </c>
      <c r="I12" s="73">
        <f>IF(H12="","",IF($I$8="A",(RANK(H12,H$11:H$333,1)+COUNTIF(H$11:H12,H12)-1),(RANK(H12,H$11:H$333)+COUNTIF(H$11:H12,H12)-1)))</f>
        <v>47</v>
      </c>
      <c r="J12" s="40"/>
      <c r="K12" s="35">
        <f t="shared" ref="K12:K75" si="10">IF(K11="","",IF(K11+1&gt;(COUNT(H$11:H$333)),"",K11+1))</f>
        <v>2</v>
      </c>
      <c r="L12" t="str">
        <f t="shared" si="2"/>
        <v>Redcar &amp; Cleveland</v>
      </c>
      <c r="M12" s="109">
        <f t="shared" si="3"/>
        <v>7</v>
      </c>
      <c r="N12" s="104">
        <f>IF(L12="","",IF($H$8="%%",M12*100,M12))</f>
        <v>7</v>
      </c>
      <c r="O12" s="89">
        <f t="shared" ref="O12" si="11">IF(I$8="A",IF(N12&gt;=$P$7,IF(N12&lt;=$O$10,N12,""),""),IF(N12&lt;=$P$7,IF(N12&gt;=$O$10,N12,""),""))</f>
        <v>7</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f t="shared" si="4"/>
        <v>7</v>
      </c>
      <c r="Z12" s="39">
        <f>IF(Y12="","",IF(I$8="A",(RANK(Y12,Y$11:Y$333,1)+COUNTIF(Y$11:Y12,Y12)-1),(RANK(Y12,Y$11:Y$333)+COUNTIF(Y$11:Y12,Y12)-1)))</f>
        <v>2</v>
      </c>
      <c r="AA12" s="177" t="str">
        <f>IF(L12="","",VLOOKUP($L12,classifications!C:I,7,FALSE))</f>
        <v>Urban with Significant Rural</v>
      </c>
      <c r="AB12" s="173">
        <f t="shared" ref="AB12" si="14">IF(AA12=$J$3,M12,"")</f>
        <v>7</v>
      </c>
      <c r="AC12" s="173">
        <f>IF(AB12="","",IF($I$8="A",(RANK(AB12,AB$11:AB$333)+COUNTIF(AB$11:AB12,AB12)-1),(RANK(AB12,AB$11:AB$333,1)+COUNTIF(AB$11:AB12,AB12)-1)))</f>
        <v>10</v>
      </c>
      <c r="AD12" s="173"/>
      <c r="AE12" s="45">
        <f>IF(I$8="A",(RANK(AG12,AG$11:AG$333,1)+COUNTIF(AG$11:AG12,AG12)-1),(RANK(AG12,AG$11:AG$333)+COUNTIF(AG$11:AG12,AG12)-1))</f>
        <v>2</v>
      </c>
      <c r="AF12" t="str">
        <f>VLOOKUP(Profile!$J$5,Families!$C:$R,2,FALSE)</f>
        <v>Cheshire West &amp; Chester</v>
      </c>
      <c r="AG12" s="15">
        <f t="shared" ref="AG12:AG75" si="15">VLOOKUP(AF12,$C$11:$H$333,4,FALSE)</f>
        <v>22</v>
      </c>
      <c r="AH12" s="46">
        <f>AE12</f>
        <v>2</v>
      </c>
      <c r="AI12" s="5" t="str">
        <f>IF(L12="","",VLOOKUP($L12,classifications!$C:$J,8,FALSE))</f>
        <v>Unitary</v>
      </c>
      <c r="AJ12" s="42">
        <f t="shared" si="5"/>
        <v>7</v>
      </c>
      <c r="AK12" s="39">
        <f>IF(AJ12="","",IF(I$8="A",(RANK(AJ12,AJ$11:AJ$333,1)+COUNTIF(AJ$11:AJ12,AJ12)-1),(RANK(AJ12,AJ$11:AJ$333)+COUNTIF(AJ$11:AJ12,AJ12)-1)))</f>
        <v>2</v>
      </c>
      <c r="AL12" s="3">
        <f t="shared" ref="AL12:AL75" si="16">IF(AL11="","",IF(AL11+1&gt;(COUNT(AJ$11:AJ$333)),"",AL11+1))</f>
        <v>2</v>
      </c>
      <c r="AM12" t="str">
        <f t="shared" si="6"/>
        <v>Redcar &amp; Cleveland</v>
      </c>
      <c r="AN12">
        <f t="shared" si="7"/>
        <v>7</v>
      </c>
      <c r="AP12" s="5" t="str">
        <f>IF(L12="","",VLOOKUP($L12,classifications!$C:$E,3,FALSE))</f>
        <v>NE</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Blackpool</v>
      </c>
      <c r="AU12" s="42">
        <f t="shared" si="9"/>
        <v>13</v>
      </c>
      <c r="AX12">
        <f>HLOOKUP($AX$9&amp;$AX$10,Data!$A$1:$ZT$1975,(MATCH($C12,Data!$A$1:$A$1975,0)),FALSE)</f>
        <v>25</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21</v>
      </c>
      <c r="G13" s="15"/>
      <c r="H13" s="41" t="str">
        <f t="shared" si="1"/>
        <v/>
      </c>
      <c r="I13" s="73" t="str">
        <f>IF(H13="","",IF($I$8="A",(RANK(H13,H$11:H$333,1)+COUNTIF(H$11:H13,H13)-1),(RANK(H13,H$11:H$333)+COUNTIF(H$11:H13,H13)-1)))</f>
        <v/>
      </c>
      <c r="J13" s="40"/>
      <c r="K13" s="35">
        <f t="shared" si="10"/>
        <v>3</v>
      </c>
      <c r="L13" t="str">
        <f t="shared" si="2"/>
        <v>Swindon</v>
      </c>
      <c r="M13" s="109">
        <f t="shared" si="3"/>
        <v>8</v>
      </c>
      <c r="N13" s="104">
        <f t="shared" ref="N13:N57" si="19">IF(L13="","",IF($H$8="%%",M13*100,M13))</f>
        <v>8</v>
      </c>
      <c r="O13" s="89">
        <f t="shared" ref="O13:O57" si="20">IF(I$8="A",IF(N13&gt;=$P$7,IF(N13&lt;=$O$10,N13,""),""),IF(N13&lt;=$P$7,IF(N13&gt;=$O$10,N13,""),""))</f>
        <v>8</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22</v>
      </c>
      <c r="AH13" s="46">
        <f t="shared" ref="AH13:AH57" si="28">AE13</f>
        <v>3</v>
      </c>
      <c r="AI13" s="5" t="str">
        <f>IF(L13="","",VLOOKUP($L13,classifications!$C:$J,8,FALSE))</f>
        <v>Unitary</v>
      </c>
      <c r="AJ13" s="42">
        <f t="shared" ref="AJ13:AJ57" si="29">IF(AI13=$I$3,M13,"")</f>
        <v>8</v>
      </c>
      <c r="AK13" s="39">
        <f>IF(AJ13="","",IF(I$8="A",(RANK(AJ13,AJ$11:AJ$333,1)+COUNTIF(AJ$11:AJ13,AJ13)-1),(RANK(AJ13,AJ$11:AJ$333)+COUNTIF(AJ$11:AJ13,AJ13)-1)))</f>
        <v>3</v>
      </c>
      <c r="AL13" s="3">
        <f t="shared" si="16"/>
        <v>3</v>
      </c>
      <c r="AM13" t="str">
        <f t="shared" si="6"/>
        <v>Swindon</v>
      </c>
      <c r="AN13">
        <f t="shared" si="7"/>
        <v>8</v>
      </c>
      <c r="AP13" s="5" t="str">
        <f>IF(L13="","",VLOOKUP($L13,classifications!$C:$E,3,FALSE))</f>
        <v>South West</v>
      </c>
      <c r="AQ13" s="42" t="str">
        <f t="shared" ref="AQ13:AQ57" si="30">IF(AP13=$G$3,$M13,"")</f>
        <v/>
      </c>
      <c r="AR13" s="39" t="str">
        <f>IF(AQ13="","",IF(I$8="A",(RANK(AQ13,AQ$11:AQ$333,1)+COUNTIF(AQ$11:AQ13,AQ13)-1),(RANK(AQ13,AQ$11:AQ$333)+COUNTIF(AQ$11:AQ13,AQ13)-1)))</f>
        <v/>
      </c>
      <c r="AS13" s="3">
        <f t="shared" si="18"/>
        <v>3</v>
      </c>
      <c r="AT13" s="39" t="str">
        <f t="shared" si="8"/>
        <v>Halton</v>
      </c>
      <c r="AU13" s="42">
        <f t="shared" si="9"/>
        <v>17</v>
      </c>
      <c r="AX13">
        <f>HLOOKUP($AX$9&amp;$AX$10,Data!$A$1:$ZT$1975,(MATCH($C13,Data!$A$1:$A$1975,0)),FALSE)</f>
        <v>21</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12</v>
      </c>
      <c r="G14" s="15"/>
      <c r="H14" s="41" t="str">
        <f t="shared" si="1"/>
        <v/>
      </c>
      <c r="I14" s="73" t="str">
        <f>IF(H14="","",IF($I$8="A",(RANK(H14,H$11:H$333,1)+COUNTIF(H$11:H14,H14)-1),(RANK(H14,H$11:H$333)+COUNTIF(H$11:H14,H14)-1)))</f>
        <v/>
      </c>
      <c r="J14" s="40"/>
      <c r="K14" s="35">
        <f t="shared" si="10"/>
        <v>4</v>
      </c>
      <c r="L14" t="str">
        <f t="shared" si="2"/>
        <v>Blackburn with Darwen</v>
      </c>
      <c r="M14" s="109">
        <f t="shared" si="3"/>
        <v>10</v>
      </c>
      <c r="N14" s="104">
        <f t="shared" si="19"/>
        <v>10</v>
      </c>
      <c r="O14" s="89">
        <f t="shared" si="20"/>
        <v>10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4</v>
      </c>
      <c r="AF14" t="str">
        <f>VLOOKUP(Profile!$J$5,Families!$C:$R,2,FALSE)</f>
        <v>Cheshire West &amp; Chester</v>
      </c>
      <c r="AG14" s="15">
        <f t="shared" si="15"/>
        <v>22</v>
      </c>
      <c r="AH14" s="46">
        <f t="shared" si="28"/>
        <v>4</v>
      </c>
      <c r="AI14" s="5" t="str">
        <f>IF(L14="","",VLOOKUP($L14,classifications!$C:$J,8,FALSE))</f>
        <v>Unitary</v>
      </c>
      <c r="AJ14" s="42">
        <f t="shared" si="29"/>
        <v>10</v>
      </c>
      <c r="AK14" s="39">
        <f>IF(AJ14="","",IF(I$8="A",(RANK(AJ14,AJ$11:AJ$333,1)+COUNTIF(AJ$11:AJ14,AJ14)-1),(RANK(AJ14,AJ$11:AJ$333)+COUNTIF(AJ$11:AJ14,AJ14)-1)))</f>
        <v>4</v>
      </c>
      <c r="AL14" s="3">
        <f t="shared" si="16"/>
        <v>4</v>
      </c>
      <c r="AM14" t="str">
        <f t="shared" si="6"/>
        <v>Blackburn with Darwen</v>
      </c>
      <c r="AN14">
        <f t="shared" si="7"/>
        <v>10</v>
      </c>
      <c r="AP14" s="5" t="str">
        <f>IF(L14="","",VLOOKUP($L14,classifications!$C:$E,3,FALSE))</f>
        <v>North West</v>
      </c>
      <c r="AQ14" s="42">
        <f t="shared" si="30"/>
        <v>10</v>
      </c>
      <c r="AR14" s="39">
        <f>IF(AQ14="","",IF(I$8="A",(RANK(AQ14,AQ$11:AQ$333,1)+COUNTIF(AQ$11:AQ14,AQ14)-1),(RANK(AQ14,AQ$11:AQ$333)+COUNTIF(AQ$11:AQ14,AQ14)-1)))</f>
        <v>1</v>
      </c>
      <c r="AS14" s="3">
        <f t="shared" si="18"/>
        <v>4</v>
      </c>
      <c r="AT14" s="39" t="str">
        <f t="shared" si="8"/>
        <v>Cheshire East</v>
      </c>
      <c r="AU14" s="42">
        <f t="shared" si="9"/>
        <v>20</v>
      </c>
      <c r="AX14">
        <f>HLOOKUP($AX$9&amp;$AX$10,Data!$A$1:$ZT$1975,(MATCH($C14,Data!$A$1:$A$1975,0)),FALSE)</f>
        <v>12</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22</v>
      </c>
      <c r="G15" s="15"/>
      <c r="H15" s="41" t="str">
        <f t="shared" si="1"/>
        <v/>
      </c>
      <c r="I15" s="73" t="str">
        <f>IF(H15="","",IF($I$8="A",(RANK(H15,H$11:H$333,1)+COUNTIF(H$11:H15,H15)-1),(RANK(H15,H$11:H$333)+COUNTIF(H$11:H15,H15)-1)))</f>
        <v/>
      </c>
      <c r="J15" s="40"/>
      <c r="K15" s="35">
        <f t="shared" si="10"/>
        <v>5</v>
      </c>
      <c r="L15" t="str">
        <f t="shared" si="2"/>
        <v>Peterborough</v>
      </c>
      <c r="M15" s="109">
        <f t="shared" si="3"/>
        <v>11</v>
      </c>
      <c r="N15" s="104">
        <f t="shared" si="19"/>
        <v>11</v>
      </c>
      <c r="O15" s="89">
        <f t="shared" si="20"/>
        <v>11</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22</v>
      </c>
      <c r="AH15" s="46">
        <f t="shared" si="28"/>
        <v>5</v>
      </c>
      <c r="AI15" s="5" t="str">
        <f>IF(L15="","",VLOOKUP($L15,classifications!$C:$J,8,FALSE))</f>
        <v>Unitary</v>
      </c>
      <c r="AJ15" s="42">
        <f t="shared" si="29"/>
        <v>11</v>
      </c>
      <c r="AK15" s="39">
        <f>IF(AJ15="","",IF(I$8="A",(RANK(AJ15,AJ$11:AJ$333,1)+COUNTIF(AJ$11:AJ15,AJ15)-1),(RANK(AJ15,AJ$11:AJ$333)+COUNTIF(AJ$11:AJ15,AJ15)-1)))</f>
        <v>5</v>
      </c>
      <c r="AL15" s="3">
        <f t="shared" si="16"/>
        <v>5</v>
      </c>
      <c r="AM15" t="str">
        <f t="shared" si="6"/>
        <v>Peterborough</v>
      </c>
      <c r="AN15">
        <f t="shared" si="7"/>
        <v>11</v>
      </c>
      <c r="AP15" s="5" t="str">
        <f>IF(L15="","",VLOOKUP($L15,classifications!$C:$E,3,FALSE))</f>
        <v>East of England</v>
      </c>
      <c r="AQ15" s="42" t="str">
        <f t="shared" si="30"/>
        <v/>
      </c>
      <c r="AR15" s="39" t="str">
        <f>IF(AQ15="","",IF(I$8="A",(RANK(AQ15,AQ$11:AQ$333,1)+COUNTIF(AQ$11:AQ15,AQ15)-1),(RANK(AQ15,AQ$11:AQ$333)+COUNTIF(AQ$11:AQ15,AQ15)-1)))</f>
        <v/>
      </c>
      <c r="AS15" s="3">
        <f t="shared" si="18"/>
        <v>5</v>
      </c>
      <c r="AT15" s="39" t="str">
        <f t="shared" si="8"/>
        <v>Cheshire West &amp; Chester</v>
      </c>
      <c r="AU15" s="42">
        <f t="shared" si="9"/>
        <v>22</v>
      </c>
      <c r="AX15">
        <f>HLOOKUP($AX$9&amp;$AX$10,Data!$A$1:$ZT$1975,(MATCH($C15,Data!$A$1:$A$1975,0)),FALSE)</f>
        <v>22</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18</v>
      </c>
      <c r="G16" s="15"/>
      <c r="H16" s="41" t="str">
        <f t="shared" si="1"/>
        <v/>
      </c>
      <c r="I16" s="73" t="str">
        <f>IF(H16="","",IF($I$8="A",(RANK(H16,H$11:H$333,1)+COUNTIF(H$11:H16,H16)-1),(RANK(H16,H$11:H$333)+COUNTIF(H$11:H16,H16)-1)))</f>
        <v/>
      </c>
      <c r="J16" s="40"/>
      <c r="K16" s="35">
        <f t="shared" si="10"/>
        <v>6</v>
      </c>
      <c r="L16" t="str">
        <f t="shared" si="2"/>
        <v>York</v>
      </c>
      <c r="M16" s="109">
        <f t="shared" si="3"/>
        <v>11</v>
      </c>
      <c r="N16" s="104">
        <f t="shared" si="19"/>
        <v>11</v>
      </c>
      <c r="O16" s="89">
        <f t="shared" si="20"/>
        <v>11</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22</v>
      </c>
      <c r="AH16" s="46">
        <f t="shared" si="28"/>
        <v>6</v>
      </c>
      <c r="AI16" s="5" t="str">
        <f>IF(L16="","",VLOOKUP($L16,classifications!$C:$J,8,FALSE))</f>
        <v>Unitary</v>
      </c>
      <c r="AJ16" s="42">
        <f t="shared" si="29"/>
        <v>11</v>
      </c>
      <c r="AK16" s="39">
        <f>IF(AJ16="","",IF(I$8="A",(RANK(AJ16,AJ$11:AJ$333,1)+COUNTIF(AJ$11:AJ16,AJ16)-1),(RANK(AJ16,AJ$11:AJ$333)+COUNTIF(AJ$11:AJ16,AJ16)-1)))</f>
        <v>6</v>
      </c>
      <c r="AL16" s="3">
        <f t="shared" si="16"/>
        <v>6</v>
      </c>
      <c r="AM16" t="str">
        <f t="shared" si="6"/>
        <v>York</v>
      </c>
      <c r="AN16">
        <f t="shared" si="7"/>
        <v>11</v>
      </c>
      <c r="AP16" s="5" t="str">
        <f>IF(L16="","",VLOOKUP($L16,classifications!$C:$E,3,FALSE))</f>
        <v>Yorkshire &amp; Humberside</v>
      </c>
      <c r="AQ16" s="42" t="str">
        <f t="shared" si="30"/>
        <v/>
      </c>
      <c r="AR16" s="39" t="str">
        <f>IF(AQ16="","",IF(I$8="A",(RANK(AQ16,AQ$11:AQ$333,1)+COUNTIF(AQ$11:AQ16,AQ16)-1),(RANK(AQ16,AQ$11:AQ$333)+COUNTIF(AQ$11:AQ16,AQ16)-1)))</f>
        <v/>
      </c>
      <c r="AS16" s="3">
        <f t="shared" si="18"/>
        <v>6</v>
      </c>
      <c r="AT16" s="39" t="str">
        <f t="shared" si="8"/>
        <v>Cumberland</v>
      </c>
      <c r="AU16" s="42">
        <f t="shared" si="9"/>
        <v>25</v>
      </c>
      <c r="AX16">
        <f>HLOOKUP($AX$9&amp;$AX$10,Data!$A$1:$ZT$1975,(MATCH($C16,Data!$A$1:$A$1975,0)),FALSE)</f>
        <v>18</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17</v>
      </c>
      <c r="G17" s="15"/>
      <c r="H17" s="41" t="str">
        <f t="shared" si="1"/>
        <v/>
      </c>
      <c r="I17" s="73" t="str">
        <f>IF(H17="","",IF($I$8="A",(RANK(H17,H$11:H$333,1)+COUNTIF(H$11:H17,H17)-1),(RANK(H17,H$11:H$333)+COUNTIF(H$11:H17,H17)-1)))</f>
        <v/>
      </c>
      <c r="J17" s="40"/>
      <c r="K17" s="35">
        <f t="shared" si="10"/>
        <v>7</v>
      </c>
      <c r="L17" t="str">
        <f t="shared" si="2"/>
        <v>Durham</v>
      </c>
      <c r="M17" s="109">
        <f t="shared" si="3"/>
        <v>12</v>
      </c>
      <c r="N17" s="104">
        <f t="shared" si="19"/>
        <v>12</v>
      </c>
      <c r="O17" s="89">
        <f t="shared" si="20"/>
        <v>12</v>
      </c>
      <c r="P17" s="89" t="str">
        <f t="shared" si="21"/>
        <v/>
      </c>
      <c r="Q17" s="89" t="str">
        <f t="shared" si="22"/>
        <v/>
      </c>
      <c r="R17" s="85" t="str">
        <f t="shared" si="23"/>
        <v/>
      </c>
      <c r="S17" s="41" t="str">
        <f t="shared" si="24"/>
        <v/>
      </c>
      <c r="T17" s="166" t="str">
        <f>IF(L17="","",VLOOKUP(L17,classifications!C:K,9,FALSE))</f>
        <v>Sparse</v>
      </c>
      <c r="U17" s="167">
        <f t="shared" si="25"/>
        <v>12</v>
      </c>
      <c r="V17" s="173">
        <f>IF(U17="","",IF($I$8="A",(RANK(U17,U$11:U$333)+COUNTIF(U$11:U17,U17)-1),(RANK(U17,U$11:U$333,1)+COUNTIF(U$11:U17,U17)-1)))</f>
        <v>13</v>
      </c>
      <c r="W17" s="174"/>
      <c r="X17" s="5" t="str">
        <f>IF(L17="","",VLOOKUP($L17,classifications!$C:$J,6,FALSE))</f>
        <v xml:space="preserve">Predominantly Rural </v>
      </c>
      <c r="Y17">
        <f t="shared" si="26"/>
        <v>12</v>
      </c>
      <c r="Z17" s="39">
        <f>IF(Y17="","",IF(I$8="A",(RANK(Y17,Y$11:Y$333,1)+COUNTIF(Y$11:Y17,Y17)-1),(RANK(Y17,Y$11:Y$333)+COUNTIF(Y$11:Y17,Y17)-1)))</f>
        <v>3</v>
      </c>
      <c r="AA17" s="177" t="str">
        <f>IF(L17="","",VLOOKUP($L17,classifications!C:I,7,FALSE))</f>
        <v>Predominantly Rural</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22</v>
      </c>
      <c r="AH17" s="46">
        <f t="shared" si="28"/>
        <v>7</v>
      </c>
      <c r="AI17" s="5" t="str">
        <f>IF(L17="","",VLOOKUP($L17,classifications!$C:$J,8,FALSE))</f>
        <v>Unitary</v>
      </c>
      <c r="AJ17" s="42">
        <f t="shared" si="29"/>
        <v>12</v>
      </c>
      <c r="AK17" s="39">
        <f>IF(AJ17="","",IF(I$8="A",(RANK(AJ17,AJ$11:AJ$333,1)+COUNTIF(AJ$11:AJ17,AJ17)-1),(RANK(AJ17,AJ$11:AJ$333)+COUNTIF(AJ$11:AJ17,AJ17)-1)))</f>
        <v>7</v>
      </c>
      <c r="AL17" s="3">
        <f t="shared" si="16"/>
        <v>7</v>
      </c>
      <c r="AM17" t="str">
        <f t="shared" si="6"/>
        <v>Durham</v>
      </c>
      <c r="AN17">
        <f t="shared" si="7"/>
        <v>12</v>
      </c>
      <c r="AP17" s="5" t="str">
        <f>IF(L17="","",VLOOKUP($L17,classifications!$C:$E,3,FALSE))</f>
        <v>NE</v>
      </c>
      <c r="AQ17" s="42" t="str">
        <f t="shared" si="30"/>
        <v/>
      </c>
      <c r="AR17" s="39" t="str">
        <f>IF(AQ17="","",IF(I$8="A",(RANK(AQ17,AQ$11:AQ$333,1)+COUNTIF(AQ$11:AQ17,AQ17)-1),(RANK(AQ17,AQ$11:AQ$333)+COUNTIF(AQ$11:AQ17,AQ17)-1)))</f>
        <v/>
      </c>
      <c r="AS17" s="3">
        <f t="shared" si="18"/>
        <v>7</v>
      </c>
      <c r="AT17" s="39" t="str">
        <f t="shared" si="8"/>
        <v>Warrington</v>
      </c>
      <c r="AU17" s="42">
        <f t="shared" si="9"/>
        <v>25</v>
      </c>
      <c r="AX17">
        <f>HLOOKUP($AX$9&amp;$AX$10,Data!$A$1:$ZT$1975,(MATCH($C17,Data!$A$1:$A$1975,0)),FALSE)</f>
        <v>17</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20</v>
      </c>
      <c r="G18" s="15"/>
      <c r="H18" s="41" t="str">
        <f t="shared" si="1"/>
        <v/>
      </c>
      <c r="I18" s="73" t="str">
        <f>IF(H18="","",IF($I$8="A",(RANK(H18,H$11:H$333,1)+COUNTIF(H$11:H18,H18)-1),(RANK(H18,H$11:H$333)+COUNTIF(H$11:H18,H18)-1)))</f>
        <v/>
      </c>
      <c r="J18" s="40"/>
      <c r="K18" s="35">
        <f t="shared" si="10"/>
        <v>8</v>
      </c>
      <c r="L18" t="str">
        <f t="shared" si="2"/>
        <v>Northumberland</v>
      </c>
      <c r="M18" s="109">
        <f t="shared" si="3"/>
        <v>12</v>
      </c>
      <c r="N18" s="104">
        <f t="shared" si="19"/>
        <v>12</v>
      </c>
      <c r="O18" s="89">
        <f t="shared" si="20"/>
        <v>12</v>
      </c>
      <c r="P18" s="89" t="str">
        <f t="shared" si="21"/>
        <v/>
      </c>
      <c r="Q18" s="89" t="str">
        <f t="shared" si="22"/>
        <v/>
      </c>
      <c r="R18" s="85" t="str">
        <f t="shared" si="23"/>
        <v/>
      </c>
      <c r="S18" s="41" t="str">
        <f t="shared" si="24"/>
        <v/>
      </c>
      <c r="T18" s="166" t="str">
        <f>IF(L18="","",VLOOKUP(L18,classifications!C:K,9,FALSE))</f>
        <v>Sparse</v>
      </c>
      <c r="U18" s="167">
        <f t="shared" si="25"/>
        <v>12</v>
      </c>
      <c r="V18" s="173">
        <f>IF(U18="","",IF($I$8="A",(RANK(U18,U$11:U$333)+COUNTIF(U$11:U18,U18)-1),(RANK(U18,U$11:U$333,1)+COUNTIF(U$11:U18,U18)-1)))</f>
        <v>14</v>
      </c>
      <c r="W18" s="174"/>
      <c r="X18" s="5" t="str">
        <f>IF(L18="","",VLOOKUP($L18,classifications!$C:$J,6,FALSE))</f>
        <v xml:space="preserve">Predominantly Rural </v>
      </c>
      <c r="Y18">
        <f t="shared" si="26"/>
        <v>12</v>
      </c>
      <c r="Z18" s="39">
        <f>IF(Y18="","",IF(I$8="A",(RANK(Y18,Y$11:Y$333,1)+COUNTIF(Y$11:Y18,Y18)-1),(RANK(Y18,Y$11:Y$333)+COUNTIF(Y$11:Y18,Y18)-1)))</f>
        <v>4</v>
      </c>
      <c r="AA18" s="177" t="str">
        <f>IF(L18="","",VLOOKUP($L18,classifications!C:I,7,FALSE))</f>
        <v>Predominantly Rural</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22</v>
      </c>
      <c r="AH18" s="46">
        <f t="shared" si="28"/>
        <v>8</v>
      </c>
      <c r="AI18" s="5" t="str">
        <f>IF(L18="","",VLOOKUP($L18,classifications!$C:$J,8,FALSE))</f>
        <v>Unitary</v>
      </c>
      <c r="AJ18" s="42">
        <f t="shared" si="29"/>
        <v>12</v>
      </c>
      <c r="AK18" s="39">
        <f>IF(AJ18="","",IF(I$8="A",(RANK(AJ18,AJ$11:AJ$333,1)+COUNTIF(AJ$11:AJ18,AJ18)-1),(RANK(AJ18,AJ$11:AJ$333)+COUNTIF(AJ$11:AJ18,AJ18)-1)))</f>
        <v>8</v>
      </c>
      <c r="AL18" s="3">
        <f t="shared" si="16"/>
        <v>8</v>
      </c>
      <c r="AM18" t="str">
        <f t="shared" si="6"/>
        <v>Northumberland</v>
      </c>
      <c r="AN18">
        <f t="shared" si="7"/>
        <v>12</v>
      </c>
      <c r="AP18" s="5" t="str">
        <f>IF(L18="","",VLOOKUP($L18,classifications!$C:$E,3,FALSE))</f>
        <v>NE</v>
      </c>
      <c r="AQ18" s="42" t="str">
        <f t="shared" si="30"/>
        <v/>
      </c>
      <c r="AR18" s="39" t="str">
        <f>IF(AQ18="","",IF(I$8="A",(RANK(AQ18,AQ$11:AQ$333,1)+COUNTIF(AQ$11:AQ18,AQ18)-1),(RANK(AQ18,AQ$11:AQ$333)+COUNTIF(AQ$11:AQ18,AQ18)-1)))</f>
        <v/>
      </c>
      <c r="AS18" s="3">
        <f t="shared" si="18"/>
        <v>8</v>
      </c>
      <c r="AT18" s="39" t="str">
        <f t="shared" si="8"/>
        <v>Westmorland &amp; Furness</v>
      </c>
      <c r="AU18" s="42">
        <f t="shared" si="9"/>
        <v>30</v>
      </c>
      <c r="AX18">
        <f>HLOOKUP($AX$9&amp;$AX$10,Data!$A$1:$ZT$1975,(MATCH($C18,Data!$A$1:$A$1975,0)),FALSE)</f>
        <v>20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19</v>
      </c>
      <c r="G19" s="15"/>
      <c r="H19" s="41" t="str">
        <f t="shared" si="1"/>
        <v/>
      </c>
      <c r="I19" s="73" t="str">
        <f>IF(H19="","",IF($I$8="A",(RANK(H19,H$11:H$333,1)+COUNTIF(H$11:H19,H19)-1),(RANK(H19,H$11:H$333)+COUNTIF(H$11:H19,H19)-1)))</f>
        <v/>
      </c>
      <c r="J19" s="40"/>
      <c r="K19" s="35">
        <f t="shared" si="10"/>
        <v>9</v>
      </c>
      <c r="L19" t="str">
        <f t="shared" si="2"/>
        <v>Telford &amp; Wrekin</v>
      </c>
      <c r="M19" s="109">
        <f t="shared" si="3"/>
        <v>12</v>
      </c>
      <c r="N19" s="104">
        <f t="shared" si="19"/>
        <v>12</v>
      </c>
      <c r="O19" s="89">
        <f t="shared" si="20"/>
        <v>12</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22</v>
      </c>
      <c r="AH19" s="46">
        <f t="shared" si="28"/>
        <v>9</v>
      </c>
      <c r="AI19" s="5" t="str">
        <f>IF(L19="","",VLOOKUP($L19,classifications!$C:$J,8,FALSE))</f>
        <v>Unitary</v>
      </c>
      <c r="AJ19" s="42">
        <f t="shared" si="29"/>
        <v>12</v>
      </c>
      <c r="AK19" s="39">
        <f>IF(AJ19="","",IF(I$8="A",(RANK(AJ19,AJ$11:AJ$333,1)+COUNTIF(AJ$11:AJ19,AJ19)-1),(RANK(AJ19,AJ$11:AJ$333)+COUNTIF(AJ$11:AJ19,AJ19)-1)))</f>
        <v>9</v>
      </c>
      <c r="AL19" s="3">
        <f t="shared" si="16"/>
        <v>9</v>
      </c>
      <c r="AM19" t="str">
        <f t="shared" si="6"/>
        <v>Telford &amp; Wrekin</v>
      </c>
      <c r="AN19">
        <f t="shared" si="7"/>
        <v>12</v>
      </c>
      <c r="AP19" s="5" t="str">
        <f>IF(L19="","",VLOOKUP($L19,classifications!$C:$E,3,FALSE))</f>
        <v>West Midlands</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19</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15</v>
      </c>
      <c r="G20" s="15"/>
      <c r="H20" s="41" t="str">
        <f t="shared" si="1"/>
        <v/>
      </c>
      <c r="I20" s="73" t="str">
        <f>IF(H20="","",IF($I$8="A",(RANK(H20,H$11:H$333,1)+COUNTIF(H$11:H20,H20)-1),(RANK(H20,H$11:H$333)+COUNTIF(H$11:H20,H20)-1)))</f>
        <v/>
      </c>
      <c r="J20" s="40"/>
      <c r="K20" s="35">
        <f t="shared" si="10"/>
        <v>10</v>
      </c>
      <c r="L20" t="str">
        <f t="shared" si="2"/>
        <v>Blackpool</v>
      </c>
      <c r="M20" s="109">
        <f t="shared" si="3"/>
        <v>13</v>
      </c>
      <c r="N20" s="104">
        <f t="shared" si="19"/>
        <v>13</v>
      </c>
      <c r="O20" s="89">
        <f t="shared" si="20"/>
        <v>13</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22</v>
      </c>
      <c r="AH20" s="46">
        <f t="shared" si="28"/>
        <v>10</v>
      </c>
      <c r="AI20" s="5" t="str">
        <f>IF(L20="","",VLOOKUP($L20,classifications!$C:$J,8,FALSE))</f>
        <v>Unitary</v>
      </c>
      <c r="AJ20" s="42">
        <f t="shared" si="29"/>
        <v>13</v>
      </c>
      <c r="AK20" s="39">
        <f>IF(AJ20="","",IF(I$8="A",(RANK(AJ20,AJ$11:AJ$333,1)+COUNTIF(AJ$11:AJ20,AJ20)-1),(RANK(AJ20,AJ$11:AJ$333)+COUNTIF(AJ$11:AJ20,AJ20)-1)))</f>
        <v>10</v>
      </c>
      <c r="AL20" s="3">
        <f t="shared" si="16"/>
        <v>10</v>
      </c>
      <c r="AM20" t="str">
        <f t="shared" si="6"/>
        <v>Blackpool</v>
      </c>
      <c r="AN20">
        <f t="shared" si="7"/>
        <v>13</v>
      </c>
      <c r="AP20" s="5" t="str">
        <f>IF(L20="","",VLOOKUP($L20,classifications!$C:$E,3,FALSE))</f>
        <v>North West</v>
      </c>
      <c r="AQ20" s="42">
        <f t="shared" si="30"/>
        <v>13</v>
      </c>
      <c r="AR20" s="39">
        <f>IF(AQ20="","",IF(I$8="A",(RANK(AQ20,AQ$11:AQ$333,1)+COUNTIF(AQ$11:AQ20,AQ20)-1),(RANK(AQ20,AQ$11:AQ$333)+COUNTIF(AQ$11:AQ20,AQ20)-1)))</f>
        <v>2</v>
      </c>
      <c r="AS20" s="3" t="str">
        <f t="shared" si="18"/>
        <v/>
      </c>
      <c r="AT20" s="39" t="str">
        <f t="shared" si="8"/>
        <v/>
      </c>
      <c r="AU20" s="42" t="str">
        <f t="shared" si="9"/>
        <v/>
      </c>
      <c r="AX20">
        <f>HLOOKUP($AX$9&amp;$AX$10,Data!$A$1:$ZT$1975,(MATCH($C20,Data!$A$1:$A$1975,0)),FALSE)</f>
        <v>15</v>
      </c>
    </row>
    <row r="21" spans="1:50">
      <c r="A21" s="55" t="str">
        <f>$D$1&amp;11</f>
        <v>UA11</v>
      </c>
      <c r="B21" s="56" t="str">
        <f>IF(ISERROR(VLOOKUP(A21,classifications!A:C,3,FALSE)),0,VLOOKUP(A21,classifications!A:C,3,FALSE))</f>
        <v>Northumberland</v>
      </c>
      <c r="C21" t="s">
        <v>897</v>
      </c>
      <c r="D21" t="str">
        <f>VLOOKUP($C21,classifications!$C:$J,4,FALSE)</f>
        <v>UA</v>
      </c>
      <c r="E21" t="str">
        <f>VLOOKUP(C21,classifications!C:K,9,FALSE)</f>
        <v>Sparse</v>
      </c>
      <c r="F21">
        <f t="shared" si="0"/>
        <v>30</v>
      </c>
      <c r="G21" s="15"/>
      <c r="H21" s="41">
        <f t="shared" si="1"/>
        <v>30</v>
      </c>
      <c r="I21" s="73">
        <f>IF(H21="","",IF($I$8="A",(RANK(H21,H$11:H$333,1)+COUNTIF(H$11:H21,H21)-1),(RANK(H21,H$11:H$333)+COUNTIF(H$11:H21,H21)-1)))</f>
        <v>58</v>
      </c>
      <c r="J21" s="40"/>
      <c r="K21" s="35">
        <f t="shared" si="10"/>
        <v>11</v>
      </c>
      <c r="L21" t="str">
        <f t="shared" si="2"/>
        <v>Cornwall</v>
      </c>
      <c r="M21" s="109">
        <f t="shared" si="3"/>
        <v>13</v>
      </c>
      <c r="N21" s="104">
        <f t="shared" si="19"/>
        <v>13</v>
      </c>
      <c r="O21" s="89">
        <f t="shared" si="20"/>
        <v>13</v>
      </c>
      <c r="P21" s="89" t="str">
        <f t="shared" si="21"/>
        <v/>
      </c>
      <c r="Q21" s="89" t="str">
        <f t="shared" si="22"/>
        <v/>
      </c>
      <c r="R21" s="85" t="str">
        <f t="shared" si="23"/>
        <v/>
      </c>
      <c r="S21" s="41" t="str">
        <f t="shared" si="24"/>
        <v/>
      </c>
      <c r="T21" s="166" t="str">
        <f>IF(L21="","",VLOOKUP(L21,classifications!C:K,9,FALSE))</f>
        <v>Sparse</v>
      </c>
      <c r="U21" s="167">
        <f t="shared" si="25"/>
        <v>13</v>
      </c>
      <c r="V21" s="173">
        <f>IF(U21="","",IF($I$8="A",(RANK(U21,U$11:U$333)+COUNTIF(U$11:U21,U21)-1),(RANK(U21,U$11:U$333,1)+COUNTIF(U$11:U21,U21)-1)))</f>
        <v>11</v>
      </c>
      <c r="W21" s="174"/>
      <c r="X21" s="5" t="str">
        <f>IF(L21="","",VLOOKUP($L21,classifications!$C:$J,6,FALSE))</f>
        <v xml:space="preserve">Predominantly Rural </v>
      </c>
      <c r="Y21">
        <f t="shared" si="26"/>
        <v>13</v>
      </c>
      <c r="Z21" s="39">
        <f>IF(Y21="","",IF(I$8="A",(RANK(Y21,Y$11:Y$333,1)+COUNTIF(Y$11:Y21,Y21)-1),(RANK(Y21,Y$11:Y$333)+COUNTIF(Y$11:Y21,Y21)-1)))</f>
        <v>5</v>
      </c>
      <c r="AA21" s="177" t="str">
        <f>IF(L21="","",VLOOKUP($L21,classifications!C:I,7,FALSE))</f>
        <v>Predominantly Rural</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22</v>
      </c>
      <c r="AH21" s="46">
        <f t="shared" si="28"/>
        <v>11</v>
      </c>
      <c r="AI21" s="5" t="str">
        <f>IF(L21="","",VLOOKUP($L21,classifications!$C:$J,8,FALSE))</f>
        <v>Unitary</v>
      </c>
      <c r="AJ21" s="42">
        <f t="shared" si="29"/>
        <v>13</v>
      </c>
      <c r="AK21" s="39">
        <f>IF(AJ21="","",IF(I$8="A",(RANK(AJ21,AJ$11:AJ$333,1)+COUNTIF(AJ$11:AJ21,AJ21)-1),(RANK(AJ21,AJ$11:AJ$333)+COUNTIF(AJ$11:AJ21,AJ21)-1)))</f>
        <v>11</v>
      </c>
      <c r="AL21" s="3">
        <f t="shared" si="16"/>
        <v>11</v>
      </c>
      <c r="AM21" t="str">
        <f t="shared" si="6"/>
        <v>Cornwall</v>
      </c>
      <c r="AN21">
        <f t="shared" si="7"/>
        <v>13</v>
      </c>
      <c r="AP21" s="5" t="str">
        <f>IF(L21="","",VLOOKUP($L21,classifications!$C:$E,3,FALSE))</f>
        <v>South West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30</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15</v>
      </c>
      <c r="G22" s="15"/>
      <c r="H22" s="41" t="str">
        <f t="shared" si="1"/>
        <v/>
      </c>
      <c r="I22" s="73" t="str">
        <f>IF(H22="","",IF($I$8="A",(RANK(H22,H$11:H$333,1)+COUNTIF(H$11:H22,H22)-1),(RANK(H22,H$11:H$333)+COUNTIF(H$11:H22,H22)-1)))</f>
        <v/>
      </c>
      <c r="J22" s="40"/>
      <c r="K22" s="35">
        <f t="shared" si="10"/>
        <v>12</v>
      </c>
      <c r="L22" t="str">
        <f t="shared" si="2"/>
        <v>Isle Of Wight</v>
      </c>
      <c r="M22" s="109">
        <f t="shared" si="3"/>
        <v>13</v>
      </c>
      <c r="N22" s="104">
        <f t="shared" si="19"/>
        <v>13</v>
      </c>
      <c r="O22" s="89">
        <f t="shared" si="20"/>
        <v>13</v>
      </c>
      <c r="P22" s="89" t="str">
        <f t="shared" si="21"/>
        <v/>
      </c>
      <c r="Q22" s="89" t="str">
        <f t="shared" si="22"/>
        <v/>
      </c>
      <c r="R22" s="85" t="str">
        <f t="shared" si="23"/>
        <v/>
      </c>
      <c r="S22" s="41" t="str">
        <f t="shared" si="24"/>
        <v/>
      </c>
      <c r="T22" s="166" t="str">
        <f>IF(L22="","",VLOOKUP(L22,classifications!C:K,9,FALSE))</f>
        <v>Sparse</v>
      </c>
      <c r="U22" s="167">
        <f t="shared" si="25"/>
        <v>13</v>
      </c>
      <c r="V22" s="173">
        <f>IF(U22="","",IF($I$8="A",(RANK(U22,U$11:U$333)+COUNTIF(U$11:U22,U22)-1),(RANK(U22,U$11:U$333,1)+COUNTIF(U$11:U22,U22)-1)))</f>
        <v>12</v>
      </c>
      <c r="W22" s="174"/>
      <c r="X22" s="5" t="str">
        <f>IF(L22="","",VLOOKUP($L22,classifications!$C:$J,6,FALSE))</f>
        <v xml:space="preserve">Predominantly Rural </v>
      </c>
      <c r="Y22">
        <f t="shared" si="26"/>
        <v>13</v>
      </c>
      <c r="Z22" s="39">
        <f>IF(Y22="","",IF(I$8="A",(RANK(Y22,Y$11:Y$333,1)+COUNTIF(Y$11:Y22,Y22)-1),(RANK(Y22,Y$11:Y$333)+COUNTIF(Y$11:Y22,Y22)-1)))</f>
        <v>6</v>
      </c>
      <c r="AA22" s="177" t="str">
        <f>IF(L22="","",VLOOKUP($L22,classifications!C:I,7,FALSE))</f>
        <v>Predominantly Rural</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22</v>
      </c>
      <c r="AH22" s="46">
        <f t="shared" si="28"/>
        <v>12</v>
      </c>
      <c r="AI22" s="5" t="str">
        <f>IF(L22="","",VLOOKUP($L22,classifications!$C:$J,8,FALSE))</f>
        <v>Unitary</v>
      </c>
      <c r="AJ22" s="42">
        <f t="shared" si="29"/>
        <v>13</v>
      </c>
      <c r="AK22" s="39">
        <f>IF(AJ22="","",IF(I$8="A",(RANK(AJ22,AJ$11:AJ$333,1)+COUNTIF(AJ$11:AJ22,AJ22)-1),(RANK(AJ22,AJ$11:AJ$333)+COUNTIF(AJ$11:AJ22,AJ22)-1)))</f>
        <v>12</v>
      </c>
      <c r="AL22" s="3">
        <f t="shared" si="16"/>
        <v>12</v>
      </c>
      <c r="AM22" t="str">
        <f t="shared" si="6"/>
        <v>Isle Of Wight</v>
      </c>
      <c r="AN22">
        <f t="shared" si="7"/>
        <v>13</v>
      </c>
      <c r="AP22" s="5" t="str">
        <f>IF(L22="","",VLOOKUP($L22,classifications!$C:$E,3,FALSE))</f>
        <v>South East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15</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17</v>
      </c>
      <c r="G23" s="15"/>
      <c r="H23" s="41" t="str">
        <f t="shared" si="1"/>
        <v/>
      </c>
      <c r="I23" s="73" t="str">
        <f>IF(H23="","",IF($I$8="A",(RANK(H23,H$11:H$333,1)+COUNTIF(H$11:H23,H23)-1),(RANK(H23,H$11:H$333)+COUNTIF(H$11:H23,H23)-1)))</f>
        <v/>
      </c>
      <c r="J23" s="40"/>
      <c r="K23" s="35">
        <f t="shared" si="10"/>
        <v>13</v>
      </c>
      <c r="L23" t="str">
        <f t="shared" si="2"/>
        <v>Stockton-on-Tees</v>
      </c>
      <c r="M23" s="109">
        <f t="shared" si="3"/>
        <v>13</v>
      </c>
      <c r="N23" s="104">
        <f t="shared" si="19"/>
        <v>13</v>
      </c>
      <c r="O23" s="89">
        <f t="shared" si="20"/>
        <v>13</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22</v>
      </c>
      <c r="AH23" s="46">
        <f t="shared" si="28"/>
        <v>13</v>
      </c>
      <c r="AI23" s="5" t="str">
        <f>IF(L23="","",VLOOKUP($L23,classifications!$C:$J,8,FALSE))</f>
        <v>Unitary</v>
      </c>
      <c r="AJ23" s="42">
        <f t="shared" si="29"/>
        <v>13</v>
      </c>
      <c r="AK23" s="39">
        <f>IF(AJ23="","",IF(I$8="A",(RANK(AJ23,AJ$11:AJ$333,1)+COUNTIF(AJ$11:AJ23,AJ23)-1),(RANK(AJ23,AJ$11:AJ$333)+COUNTIF(AJ$11:AJ23,AJ23)-1)))</f>
        <v>13</v>
      </c>
      <c r="AL23" s="3">
        <f t="shared" si="16"/>
        <v>13</v>
      </c>
      <c r="AM23" t="str">
        <f t="shared" si="6"/>
        <v>Stockton-on-Tees</v>
      </c>
      <c r="AN23">
        <f t="shared" si="7"/>
        <v>13</v>
      </c>
      <c r="AP23" s="5" t="str">
        <f>IF(L23="","",VLOOKUP($L23,classifications!$C:$E,3,FALSE))</f>
        <v>NE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17</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24</v>
      </c>
      <c r="G24" s="15"/>
      <c r="H24" s="41" t="str">
        <f t="shared" si="1"/>
        <v/>
      </c>
      <c r="I24" s="73" t="str">
        <f>IF(H24="","",IF($I$8="A",(RANK(H24,H$11:H$333,1)+COUNTIF(H$11:H24,H24)-1),(RANK(H24,H$11:H$333)+COUNTIF(H$11:H24,H24)-1)))</f>
        <v/>
      </c>
      <c r="J24" s="40"/>
      <c r="K24" s="35">
        <f t="shared" si="10"/>
        <v>14</v>
      </c>
      <c r="L24" t="str">
        <f t="shared" si="2"/>
        <v>Thurrock</v>
      </c>
      <c r="M24" s="109">
        <f t="shared" si="3"/>
        <v>13</v>
      </c>
      <c r="N24" s="104">
        <f t="shared" si="19"/>
        <v>13</v>
      </c>
      <c r="O24" s="89">
        <f t="shared" si="20"/>
        <v>13</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f>IF(I$8="A",(RANK(AG24,AG$11:AG$333,1)+COUNTIF(AG$11:AG24,AG24)-1),(RANK(AG24,AG$11:AG$333)+COUNTIF(AG$11:AG24,AG24)-1))</f>
        <v>14</v>
      </c>
      <c r="AF24" t="str">
        <f>VLOOKUP(Profile!$J$5,Families!$C:$R,2,FALSE)</f>
        <v>Cheshire West &amp; Chester</v>
      </c>
      <c r="AG24" s="15">
        <f t="shared" si="15"/>
        <v>22</v>
      </c>
      <c r="AH24" s="46">
        <f t="shared" si="28"/>
        <v>14</v>
      </c>
      <c r="AI24" s="5" t="str">
        <f>IF(L24="","",VLOOKUP($L24,classifications!$C:$J,8,FALSE))</f>
        <v>Unitary</v>
      </c>
      <c r="AJ24" s="42">
        <f t="shared" si="29"/>
        <v>13</v>
      </c>
      <c r="AK24" s="39">
        <f>IF(AJ24="","",IF(I$8="A",(RANK(AJ24,AJ$11:AJ$333,1)+COUNTIF(AJ$11:AJ24,AJ24)-1),(RANK(AJ24,AJ$11:AJ$333)+COUNTIF(AJ$11:AJ24,AJ24)-1)))</f>
        <v>14</v>
      </c>
      <c r="AL24" s="3">
        <f t="shared" si="16"/>
        <v>14</v>
      </c>
      <c r="AM24" t="str">
        <f t="shared" si="6"/>
        <v>Thurrock</v>
      </c>
      <c r="AN24">
        <f t="shared" si="7"/>
        <v>13</v>
      </c>
      <c r="AP24" s="5" t="str">
        <f>IF(L24="","",VLOOKUP($L24,classifications!$C:$E,3,FALSE))</f>
        <v>East of England</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24</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24</v>
      </c>
      <c r="G25" s="15"/>
      <c r="H25" s="41">
        <f t="shared" si="1"/>
        <v>24</v>
      </c>
      <c r="I25" s="73">
        <f>IF(H25="","",IF($I$8="A",(RANK(H25,H$11:H$333,1)+COUNTIF(H$11:H25,H25)-1),(RANK(H25,H$11:H$333)+COUNTIF(H$11:H25,H25)-1)))</f>
        <v>45</v>
      </c>
      <c r="J25" s="40"/>
      <c r="K25" s="35">
        <f t="shared" si="10"/>
        <v>15</v>
      </c>
      <c r="L25" t="str">
        <f t="shared" si="2"/>
        <v>Bracknell Forest</v>
      </c>
      <c r="M25" s="109">
        <f t="shared" si="3"/>
        <v>14</v>
      </c>
      <c r="N25" s="104">
        <f t="shared" si="19"/>
        <v>14</v>
      </c>
      <c r="O25" s="89">
        <f t="shared" si="20"/>
        <v>14</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15</v>
      </c>
      <c r="AF25" t="str">
        <f>VLOOKUP(Profile!$J$5,Families!$C:$R,2,FALSE)</f>
        <v>Cheshire West &amp; Chester</v>
      </c>
      <c r="AG25" s="15">
        <f t="shared" si="15"/>
        <v>22</v>
      </c>
      <c r="AH25" s="46">
        <f t="shared" si="28"/>
        <v>15</v>
      </c>
      <c r="AI25" s="5" t="str">
        <f>IF(L25="","",VLOOKUP($L25,classifications!$C:$J,8,FALSE))</f>
        <v>Unitary</v>
      </c>
      <c r="AJ25" s="42">
        <f t="shared" si="29"/>
        <v>14</v>
      </c>
      <c r="AK25" s="39">
        <f>IF(AJ25="","",IF(I$8="A",(RANK(AJ25,AJ$11:AJ$333,1)+COUNTIF(AJ$11:AJ25,AJ25)-1),(RANK(AJ25,AJ$11:AJ$333)+COUNTIF(AJ$11:AJ25,AJ25)-1)))</f>
        <v>15</v>
      </c>
      <c r="AL25" s="3">
        <f t="shared" si="16"/>
        <v>15</v>
      </c>
      <c r="AM25" t="str">
        <f t="shared" si="6"/>
        <v>Bracknell Forest</v>
      </c>
      <c r="AN25">
        <f t="shared" si="7"/>
        <v>14</v>
      </c>
      <c r="AP25" s="5" t="str">
        <f>IF(L25="","",VLOOKUP($L25,classifications!$C:$E,3,FALSE))</f>
        <v>South East</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24</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19</v>
      </c>
      <c r="G26" s="15"/>
      <c r="H26" s="41">
        <f t="shared" si="1"/>
        <v>19</v>
      </c>
      <c r="I26" s="73">
        <f>IF(H26="","",IF($I$8="A",(RANK(H26,H$11:H$333,1)+COUNTIF(H$11:H26,H26)-1),(RANK(H26,H$11:H$333)+COUNTIF(H$11:H26,H26)-1)))</f>
        <v>26</v>
      </c>
      <c r="J26" s="40"/>
      <c r="K26" s="35">
        <f t="shared" si="10"/>
        <v>16</v>
      </c>
      <c r="L26" t="str">
        <f t="shared" si="2"/>
        <v>Somerset</v>
      </c>
      <c r="M26" s="109">
        <f t="shared" si="3"/>
        <v>14</v>
      </c>
      <c r="N26" s="104">
        <f t="shared" si="19"/>
        <v>14</v>
      </c>
      <c r="O26" s="89">
        <f t="shared" si="20"/>
        <v>14</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Rural</v>
      </c>
      <c r="Y26" t="str">
        <f t="shared" si="26"/>
        <v/>
      </c>
      <c r="Z26" s="39" t="str">
        <f>IF(Y26="","",IF(I$8="A",(RANK(Y26,Y$11:Y$333,1)+COUNTIF(Y$11:Y26,Y26)-1),(RANK(Y26,Y$11:Y$333)+COUNTIF(Y$11:Y26,Y26)-1)))</f>
        <v/>
      </c>
      <c r="AA26" s="177" t="str">
        <f>IF(L26="","",VLOOKUP($L26,classifications!C:I,7,FALSE))</f>
        <v>Predominantly Rural</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22</v>
      </c>
      <c r="AH26" s="46">
        <f t="shared" si="28"/>
        <v>16</v>
      </c>
      <c r="AI26" s="5" t="str">
        <f>IF(L26="","",VLOOKUP($L26,classifications!$C:$J,8,FALSE))</f>
        <v>Unitary</v>
      </c>
      <c r="AJ26" s="42">
        <f t="shared" si="29"/>
        <v>14</v>
      </c>
      <c r="AK26" s="39">
        <f>IF(AJ26="","",IF(I$8="A",(RANK(AJ26,AJ$11:AJ$333,1)+COUNTIF(AJ$11:AJ26,AJ26)-1),(RANK(AJ26,AJ$11:AJ$333)+COUNTIF(AJ$11:AJ26,AJ26)-1)))</f>
        <v>16</v>
      </c>
      <c r="AL26" s="3">
        <f t="shared" si="16"/>
        <v>16</v>
      </c>
      <c r="AM26" t="str">
        <f t="shared" si="6"/>
        <v>Somerset</v>
      </c>
      <c r="AN26">
        <f t="shared" si="7"/>
        <v>14</v>
      </c>
      <c r="AP26" s="5" t="str">
        <f>IF(L26="","",VLOOKUP($L26,classifications!$C:$E,3,FALSE))</f>
        <v>South West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19</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15</v>
      </c>
      <c r="G27" s="15"/>
      <c r="H27" s="41" t="str">
        <f t="shared" si="1"/>
        <v/>
      </c>
      <c r="I27" s="73" t="str">
        <f>IF(H27="","",IF($I$8="A",(RANK(H27,H$11:H$333,1)+COUNTIF(H$11:H27,H27)-1),(RANK(H27,H$11:H$333)+COUNTIF(H$11:H27,H27)-1)))</f>
        <v/>
      </c>
      <c r="J27" s="40"/>
      <c r="K27" s="35">
        <f t="shared" si="10"/>
        <v>17</v>
      </c>
      <c r="L27" t="str">
        <f t="shared" si="2"/>
        <v>Windsor &amp; Maidenhead</v>
      </c>
      <c r="M27" s="109">
        <f t="shared" si="3"/>
        <v>14</v>
      </c>
      <c r="N27" s="104">
        <f t="shared" si="19"/>
        <v>14</v>
      </c>
      <c r="O27" s="89">
        <f t="shared" si="20"/>
        <v>14</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22</v>
      </c>
      <c r="AH27" s="46">
        <f t="shared" si="28"/>
        <v>17</v>
      </c>
      <c r="AI27" s="5" t="str">
        <f>IF(L27="","",VLOOKUP($L27,classifications!$C:$J,8,FALSE))</f>
        <v>Unitary</v>
      </c>
      <c r="AJ27" s="42">
        <f t="shared" si="29"/>
        <v>14</v>
      </c>
      <c r="AK27" s="39">
        <f>IF(AJ27="","",IF(I$8="A",(RANK(AJ27,AJ$11:AJ$333,1)+COUNTIF(AJ$11:AJ27,AJ27)-1),(RANK(AJ27,AJ$11:AJ$333)+COUNTIF(AJ$11:AJ27,AJ27)-1)))</f>
        <v>17</v>
      </c>
      <c r="AL27" s="3">
        <f t="shared" si="16"/>
        <v>17</v>
      </c>
      <c r="AM27" t="str">
        <f t="shared" si="6"/>
        <v>Windsor &amp; Maidenhead</v>
      </c>
      <c r="AN27">
        <f t="shared" si="7"/>
        <v>14</v>
      </c>
      <c r="AP27" s="5" t="str">
        <f>IF(L27="","",VLOOKUP($L27,classifications!$C:$E,3,FALSE))</f>
        <v>South East</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15</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14</v>
      </c>
      <c r="G28" s="15"/>
      <c r="H28" s="41" t="str">
        <f t="shared" si="1"/>
        <v/>
      </c>
      <c r="I28" s="73" t="str">
        <f>IF(H28="","",IF($I$8="A",(RANK(H28,H$11:H$333,1)+COUNTIF(H$11:H28,H28)-1),(RANK(H28,H$11:H$333)+COUNTIF(H$11:H28,H28)-1)))</f>
        <v/>
      </c>
      <c r="J28" s="40"/>
      <c r="K28" s="35">
        <f t="shared" si="10"/>
        <v>18</v>
      </c>
      <c r="L28" t="str">
        <f t="shared" si="2"/>
        <v>Luton</v>
      </c>
      <c r="M28" s="109">
        <f t="shared" si="3"/>
        <v>15</v>
      </c>
      <c r="N28" s="104">
        <f t="shared" si="19"/>
        <v>15</v>
      </c>
      <c r="O28" s="89" t="str">
        <f t="shared" si="20"/>
        <v/>
      </c>
      <c r="P28" s="89">
        <f t="shared" si="21"/>
        <v>15</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22</v>
      </c>
      <c r="AH28" s="46">
        <f t="shared" si="28"/>
        <v>18</v>
      </c>
      <c r="AI28" s="5" t="str">
        <f>IF(L28="","",VLOOKUP($L28,classifications!$C:$J,8,FALSE))</f>
        <v>Unitary</v>
      </c>
      <c r="AJ28" s="42">
        <f t="shared" si="29"/>
        <v>15</v>
      </c>
      <c r="AK28" s="39">
        <f>IF(AJ28="","",IF(I$8="A",(RANK(AJ28,AJ$11:AJ$333,1)+COUNTIF(AJ$11:AJ28,AJ28)-1),(RANK(AJ28,AJ$11:AJ$333)+COUNTIF(AJ$11:AJ28,AJ28)-1)))</f>
        <v>18</v>
      </c>
      <c r="AL28" s="3">
        <f t="shared" si="16"/>
        <v>18</v>
      </c>
      <c r="AM28" t="str">
        <f t="shared" si="6"/>
        <v>Luton</v>
      </c>
      <c r="AN28">
        <f t="shared" si="7"/>
        <v>15</v>
      </c>
      <c r="AP28" s="5" t="str">
        <f>IF(L28="","",VLOOKUP($L28,classifications!$C:$E,3,FALSE))</f>
        <v>East of England</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14</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17</v>
      </c>
      <c r="G29" s="15"/>
      <c r="H29" s="41" t="str">
        <f t="shared" si="1"/>
        <v/>
      </c>
      <c r="I29" s="73" t="str">
        <f>IF(H29="","",IF($I$8="A",(RANK(H29,H$11:H$333,1)+COUNTIF(H$11:H29,H29)-1),(RANK(H29,H$11:H$333)+COUNTIF(H$11:H29,H29)-1)))</f>
        <v/>
      </c>
      <c r="J29" s="40"/>
      <c r="K29" s="35">
        <f t="shared" si="10"/>
        <v>19</v>
      </c>
      <c r="L29" t="str">
        <f t="shared" si="2"/>
        <v>Middlesbrough</v>
      </c>
      <c r="M29" s="109">
        <f t="shared" si="3"/>
        <v>15</v>
      </c>
      <c r="N29" s="104">
        <f t="shared" si="19"/>
        <v>15</v>
      </c>
      <c r="O29" s="89" t="str">
        <f t="shared" si="20"/>
        <v/>
      </c>
      <c r="P29" s="89">
        <f t="shared" si="21"/>
        <v>15</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22</v>
      </c>
      <c r="AH29" s="46">
        <f t="shared" si="28"/>
        <v>19</v>
      </c>
      <c r="AI29" s="5" t="str">
        <f>IF(L29="","",VLOOKUP($L29,classifications!$C:$J,8,FALSE))</f>
        <v>Unitary</v>
      </c>
      <c r="AJ29" s="42">
        <f t="shared" si="29"/>
        <v>15</v>
      </c>
      <c r="AK29" s="39">
        <f>IF(AJ29="","",IF(I$8="A",(RANK(AJ29,AJ$11:AJ$333,1)+COUNTIF(AJ$11:AJ29,AJ29)-1),(RANK(AJ29,AJ$11:AJ$333)+COUNTIF(AJ$11:AJ29,AJ29)-1)))</f>
        <v>19</v>
      </c>
      <c r="AL29" s="3">
        <f t="shared" si="16"/>
        <v>19</v>
      </c>
      <c r="AM29" t="str">
        <f t="shared" si="6"/>
        <v>Middlesbrough</v>
      </c>
      <c r="AN29">
        <f t="shared" si="7"/>
        <v>15</v>
      </c>
      <c r="AP29" s="5" t="str">
        <f>IF(L29="","",VLOOKUP($L29,classifications!$C:$E,3,FALSE))</f>
        <v>NE</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17</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v>
      </c>
      <c r="G30" s="15"/>
      <c r="H30" s="41">
        <f t="shared" si="1"/>
        <v>10</v>
      </c>
      <c r="I30" s="73">
        <f>IF(H30="","",IF($I$8="A",(RANK(H30,H$11:H$333,1)+COUNTIF(H$11:H30,H30)-1),(RANK(H30,H$11:H$333)+COUNTIF(H$11:H30,H30)-1)))</f>
        <v>4</v>
      </c>
      <c r="J30" s="40"/>
      <c r="K30" s="35">
        <f t="shared" si="10"/>
        <v>20</v>
      </c>
      <c r="L30" t="str">
        <f t="shared" si="2"/>
        <v>Milton Keynes</v>
      </c>
      <c r="M30" s="109">
        <f t="shared" si="3"/>
        <v>15</v>
      </c>
      <c r="N30" s="104">
        <f t="shared" si="19"/>
        <v>15</v>
      </c>
      <c r="O30" s="89" t="str">
        <f t="shared" si="20"/>
        <v/>
      </c>
      <c r="P30" s="89">
        <f t="shared" si="21"/>
        <v>15</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22</v>
      </c>
      <c r="AH30" s="46">
        <f t="shared" si="28"/>
        <v>20</v>
      </c>
      <c r="AI30" s="5" t="str">
        <f>IF(L30="","",VLOOKUP($L30,classifications!$C:$J,8,FALSE))</f>
        <v>Unitary</v>
      </c>
      <c r="AJ30" s="42">
        <f t="shared" si="29"/>
        <v>15</v>
      </c>
      <c r="AK30" s="39">
        <f>IF(AJ30="","",IF(I$8="A",(RANK(AJ30,AJ$11:AJ$333,1)+COUNTIF(AJ$11:AJ30,AJ30)-1),(RANK(AJ30,AJ$11:AJ$333)+COUNTIF(AJ$11:AJ30,AJ30)-1)))</f>
        <v>20</v>
      </c>
      <c r="AL30" s="3">
        <f t="shared" si="16"/>
        <v>20</v>
      </c>
      <c r="AM30" t="str">
        <f t="shared" si="6"/>
        <v>Milton Keynes</v>
      </c>
      <c r="AN30">
        <f t="shared" si="7"/>
        <v>15</v>
      </c>
      <c r="AP30" s="5" t="str">
        <f>IF(L30="","",VLOOKUP($L30,classifications!$C:$E,3,FALSE))</f>
        <v>South East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13</v>
      </c>
      <c r="G31" s="15"/>
      <c r="H31" s="41">
        <f t="shared" si="1"/>
        <v>13</v>
      </c>
      <c r="I31" s="73">
        <f>IF(H31="","",IF($I$8="A",(RANK(H31,H$11:H$333,1)+COUNTIF(H$11:H31,H31)-1),(RANK(H31,H$11:H$333)+COUNTIF(H$11:H31,H31)-1)))</f>
        <v>10</v>
      </c>
      <c r="J31" s="40"/>
      <c r="K31" s="35">
        <f t="shared" si="10"/>
        <v>21</v>
      </c>
      <c r="L31" t="str">
        <f t="shared" si="2"/>
        <v>Reading</v>
      </c>
      <c r="M31" s="109">
        <f t="shared" si="3"/>
        <v>15</v>
      </c>
      <c r="N31" s="104">
        <f t="shared" si="19"/>
        <v>15</v>
      </c>
      <c r="O31" s="89" t="str">
        <f t="shared" si="20"/>
        <v/>
      </c>
      <c r="P31" s="89">
        <f t="shared" si="21"/>
        <v>15</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22</v>
      </c>
      <c r="AH31" s="46">
        <f t="shared" si="28"/>
        <v>21</v>
      </c>
      <c r="AI31" s="5" t="str">
        <f>IF(L31="","",VLOOKUP($L31,classifications!$C:$J,8,FALSE))</f>
        <v>Unitary</v>
      </c>
      <c r="AJ31" s="42">
        <f t="shared" si="29"/>
        <v>15</v>
      </c>
      <c r="AK31" s="39">
        <f>IF(AJ31="","",IF(I$8="A",(RANK(AJ31,AJ$11:AJ$333,1)+COUNTIF(AJ$11:AJ31,AJ31)-1),(RANK(AJ31,AJ$11:AJ$333)+COUNTIF(AJ$11:AJ31,AJ31)-1)))</f>
        <v>21</v>
      </c>
      <c r="AL31" s="3">
        <f t="shared" si="16"/>
        <v>21</v>
      </c>
      <c r="AM31" t="str">
        <f t="shared" si="6"/>
        <v>Reading</v>
      </c>
      <c r="AN31">
        <f t="shared" si="7"/>
        <v>15</v>
      </c>
      <c r="AP31" s="5" t="str">
        <f>IF(L31="","",VLOOKUP($L31,classifications!$C:$E,3,FALSE))</f>
        <v>South East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13</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24</v>
      </c>
      <c r="G32" s="15"/>
      <c r="H32" s="41" t="str">
        <f t="shared" si="1"/>
        <v/>
      </c>
      <c r="I32" s="73" t="str">
        <f>IF(H32="","",IF($I$8="A",(RANK(H32,H$11:H$333,1)+COUNTIF(H$11:H32,H32)-1),(RANK(H32,H$11:H$333)+COUNTIF(H$11:H32,H32)-1)))</f>
        <v/>
      </c>
      <c r="J32" s="40"/>
      <c r="K32" s="35">
        <f t="shared" si="10"/>
        <v>22</v>
      </c>
      <c r="L32" t="str">
        <f t="shared" si="2"/>
        <v>Wokingham</v>
      </c>
      <c r="M32" s="109">
        <f t="shared" si="3"/>
        <v>15</v>
      </c>
      <c r="N32" s="104">
        <f t="shared" si="19"/>
        <v>15</v>
      </c>
      <c r="O32" s="89" t="str">
        <f t="shared" si="20"/>
        <v/>
      </c>
      <c r="P32" s="89">
        <f t="shared" si="21"/>
        <v>15</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f>IF(I$8="A",(RANK(AG32,AG$11:AG$333,1)+COUNTIF(AG$11:AG32,AG32)-1),(RANK(AG32,AG$11:AG$333)+COUNTIF(AG$11:AG32,AG32)-1))</f>
        <v>22</v>
      </c>
      <c r="AF32" t="str">
        <f>VLOOKUP(Profile!$J$5,Families!$C:$R,2,FALSE)</f>
        <v>Cheshire West &amp; Chester</v>
      </c>
      <c r="AG32" s="15">
        <f t="shared" si="15"/>
        <v>22</v>
      </c>
      <c r="AH32" s="46">
        <f t="shared" si="28"/>
        <v>22</v>
      </c>
      <c r="AI32" s="5" t="str">
        <f>IF(L32="","",VLOOKUP($L32,classifications!$C:$J,8,FALSE))</f>
        <v>Unitary</v>
      </c>
      <c r="AJ32" s="42">
        <f t="shared" si="29"/>
        <v>15</v>
      </c>
      <c r="AK32" s="39">
        <f>IF(AJ32="","",IF(I$8="A",(RANK(AJ32,AJ$11:AJ$333,1)+COUNTIF(AJ$11:AJ32,AJ32)-1),(RANK(AJ32,AJ$11:AJ$333)+COUNTIF(AJ$11:AJ32,AJ32)-1)))</f>
        <v>22</v>
      </c>
      <c r="AL32" s="3">
        <f t="shared" si="16"/>
        <v>22</v>
      </c>
      <c r="AM32" t="str">
        <f t="shared" si="6"/>
        <v>Wokingham</v>
      </c>
      <c r="AN32">
        <f t="shared" si="7"/>
        <v>15</v>
      </c>
      <c r="AP32" s="5" t="str">
        <f>IF(L32="","",VLOOKUP($L32,classifications!$C:$E,3,FALSE))</f>
        <v>South East</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24</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24</v>
      </c>
      <c r="G33" s="15"/>
      <c r="H33" s="41" t="str">
        <f t="shared" si="1"/>
        <v/>
      </c>
      <c r="I33" s="73" t="str">
        <f>IF(H33="","",IF($I$8="A",(RANK(H33,H$11:H$333,1)+COUNTIF(H$11:H33,H33)-1),(RANK(H33,H$11:H$333)+COUNTIF(H$11:H33,H33)-1)))</f>
        <v/>
      </c>
      <c r="J33" s="40"/>
      <c r="K33" s="35">
        <f t="shared" si="10"/>
        <v>23</v>
      </c>
      <c r="L33" t="str">
        <f t="shared" si="2"/>
        <v>Bristol</v>
      </c>
      <c r="M33" s="109">
        <f t="shared" si="3"/>
        <v>17</v>
      </c>
      <c r="N33" s="104">
        <f t="shared" si="19"/>
        <v>17</v>
      </c>
      <c r="O33" s="89" t="str">
        <f t="shared" si="20"/>
        <v/>
      </c>
      <c r="P33" s="89">
        <f t="shared" si="21"/>
        <v>17</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22</v>
      </c>
      <c r="AH33" s="46">
        <f t="shared" si="28"/>
        <v>23</v>
      </c>
      <c r="AI33" s="5" t="str">
        <f>IF(L33="","",VLOOKUP($L33,classifications!$C:$J,8,FALSE))</f>
        <v>Unitary</v>
      </c>
      <c r="AJ33" s="42">
        <f t="shared" si="29"/>
        <v>17</v>
      </c>
      <c r="AK33" s="39">
        <f>IF(AJ33="","",IF(I$8="A",(RANK(AJ33,AJ$11:AJ$333,1)+COUNTIF(AJ$11:AJ33,AJ33)-1),(RANK(AJ33,AJ$11:AJ$333)+COUNTIF(AJ$11:AJ33,AJ33)-1)))</f>
        <v>23</v>
      </c>
      <c r="AL33" s="3">
        <f t="shared" si="16"/>
        <v>23</v>
      </c>
      <c r="AM33" t="str">
        <f t="shared" si="6"/>
        <v>Bristol</v>
      </c>
      <c r="AN33">
        <f t="shared" si="7"/>
        <v>17</v>
      </c>
      <c r="AP33" s="5" t="str">
        <f>IF(L33="","",VLOOKUP($L33,classifications!$C:$E,3,FALSE))</f>
        <v>South West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24</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30</v>
      </c>
      <c r="G34" s="15"/>
      <c r="H34" s="41" t="str">
        <f t="shared" si="1"/>
        <v/>
      </c>
      <c r="I34" s="73" t="str">
        <f>IF(H34="","",IF($I$8="A",(RANK(H34,H$11:H$333,1)+COUNTIF(H$11:H34,H34)-1),(RANK(H34,H$11:H$333)+COUNTIF(H$11:H34,H34)-1)))</f>
        <v/>
      </c>
      <c r="J34" s="40"/>
      <c r="K34" s="35">
        <f t="shared" si="10"/>
        <v>24</v>
      </c>
      <c r="L34" t="str">
        <f t="shared" si="2"/>
        <v>Halton</v>
      </c>
      <c r="M34" s="109">
        <f t="shared" si="3"/>
        <v>17</v>
      </c>
      <c r="N34" s="104">
        <f t="shared" si="19"/>
        <v>17</v>
      </c>
      <c r="O34" s="89" t="str">
        <f t="shared" si="20"/>
        <v/>
      </c>
      <c r="P34" s="89">
        <f t="shared" si="21"/>
        <v>17</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24</v>
      </c>
      <c r="AF34" t="str">
        <f>VLOOKUP(Profile!$J$5,Families!$C:$R,2,FALSE)</f>
        <v>Cheshire West &amp; Chester</v>
      </c>
      <c r="AG34" s="15">
        <f t="shared" si="15"/>
        <v>22</v>
      </c>
      <c r="AH34" s="46">
        <f t="shared" si="28"/>
        <v>24</v>
      </c>
      <c r="AI34" s="5" t="str">
        <f>IF(L34="","",VLOOKUP($L34,classifications!$C:$J,8,FALSE))</f>
        <v>Unitary</v>
      </c>
      <c r="AJ34" s="42">
        <f t="shared" si="29"/>
        <v>17</v>
      </c>
      <c r="AK34" s="39">
        <f>IF(AJ34="","",IF(I$8="A",(RANK(AJ34,AJ$11:AJ$333,1)+COUNTIF(AJ$11:AJ34,AJ34)-1),(RANK(AJ34,AJ$11:AJ$333)+COUNTIF(AJ$11:AJ34,AJ34)-1)))</f>
        <v>24</v>
      </c>
      <c r="AL34" s="3">
        <f t="shared" si="16"/>
        <v>24</v>
      </c>
      <c r="AM34" t="str">
        <f t="shared" si="6"/>
        <v>Halton</v>
      </c>
      <c r="AN34">
        <f t="shared" si="7"/>
        <v>17</v>
      </c>
      <c r="AP34" s="5" t="str">
        <f>IF(L34="","",VLOOKUP($L34,classifications!$C:$E,3,FALSE))</f>
        <v>North West</v>
      </c>
      <c r="AQ34" s="42">
        <f t="shared" si="30"/>
        <v>17</v>
      </c>
      <c r="AR34" s="39">
        <f>IF(AQ34="","",IF(I$8="A",(RANK(AQ34,AQ$11:AQ$333,1)+COUNTIF(AQ$11:AQ34,AQ34)-1),(RANK(AQ34,AQ$11:AQ$333)+COUNTIF(AQ$11:AQ34,AQ34)-1)))</f>
        <v>3</v>
      </c>
      <c r="AS34" s="3" t="str">
        <f t="shared" si="18"/>
        <v/>
      </c>
      <c r="AT34" s="39" t="str">
        <f t="shared" si="8"/>
        <v/>
      </c>
      <c r="AU34" s="42" t="str">
        <f t="shared" si="9"/>
        <v/>
      </c>
      <c r="AX34">
        <f>HLOOKUP($AX$9&amp;$AX$10,Data!$A$1:$ZT$1975,(MATCH($C34,Data!$A$1:$A$1975,0)),FALSE)</f>
        <v>30</v>
      </c>
    </row>
    <row r="35" spans="1:50">
      <c r="A35" s="55" t="str">
        <f>$D$1&amp;25</f>
        <v>UA25</v>
      </c>
      <c r="B35" s="56">
        <f>IF(ISERROR(VLOOKUP(A35,classifications!A:C,3,FALSE)),0,VLOOKUP(A35,classifications!A:C,3,FALSE))</f>
        <v>0</v>
      </c>
      <c r="C35" t="s">
        <v>893</v>
      </c>
      <c r="D35" t="str">
        <f>VLOOKUP($C35,classifications!$C:$J,4,FALSE)</f>
        <v>UA</v>
      </c>
      <c r="E35">
        <f>VLOOKUP(C35,classifications!C:K,9,FALSE)</f>
        <v>0</v>
      </c>
      <c r="F35">
        <f t="shared" si="0"/>
        <v>19</v>
      </c>
      <c r="G35" s="15"/>
      <c r="H35" s="41">
        <f t="shared" si="1"/>
        <v>19</v>
      </c>
      <c r="I35" s="73">
        <f>IF(H35="","",IF($I$8="A",(RANK(H35,H$11:H$333,1)+COUNTIF(H$11:H35,H35)-1),(RANK(H35,H$11:H$333)+COUNTIF(H$11:H35,H35)-1)))</f>
        <v>27</v>
      </c>
      <c r="J35" s="40"/>
      <c r="K35" s="35">
        <f t="shared" si="10"/>
        <v>25</v>
      </c>
      <c r="L35" t="str">
        <f t="shared" si="2"/>
        <v>Herefordshire</v>
      </c>
      <c r="M35" s="109">
        <f t="shared" si="3"/>
        <v>18</v>
      </c>
      <c r="N35" s="104">
        <f t="shared" si="19"/>
        <v>18</v>
      </c>
      <c r="O35" s="89" t="str">
        <f t="shared" si="20"/>
        <v/>
      </c>
      <c r="P35" s="89">
        <f t="shared" si="21"/>
        <v>18</v>
      </c>
      <c r="Q35" s="89" t="str">
        <f t="shared" si="22"/>
        <v/>
      </c>
      <c r="R35" s="85" t="str">
        <f t="shared" si="23"/>
        <v/>
      </c>
      <c r="S35" s="41" t="str">
        <f t="shared" si="24"/>
        <v/>
      </c>
      <c r="T35" s="166" t="str">
        <f>IF(L35="","",VLOOKUP(L35,classifications!C:K,9,FALSE))</f>
        <v>Sparse</v>
      </c>
      <c r="U35" s="167">
        <f t="shared" si="25"/>
        <v>18</v>
      </c>
      <c r="V35" s="173">
        <f>IF(U35="","",IF($I$8="A",(RANK(U35,U$11:U$333)+COUNTIF(U$11:U35,U35)-1),(RANK(U35,U$11:U$333,1)+COUNTIF(U$11:U35,U35)-1)))</f>
        <v>10</v>
      </c>
      <c r="W35" s="174"/>
      <c r="X35" s="5" t="str">
        <f>IF(L35="","",VLOOKUP($L35,classifications!$C:$J,6,FALSE))</f>
        <v xml:space="preserve">Predominantly Rural </v>
      </c>
      <c r="Y35">
        <f t="shared" si="26"/>
        <v>18</v>
      </c>
      <c r="Z35" s="39">
        <f>IF(Y35="","",IF(I$8="A",(RANK(Y35,Y$11:Y$333,1)+COUNTIF(Y$11:Y35,Y35)-1),(RANK(Y35,Y$11:Y$333)+COUNTIF(Y$11:Y35,Y35)-1)))</f>
        <v>7</v>
      </c>
      <c r="AA35" s="177" t="str">
        <f>IF(L35="","",VLOOKUP($L35,classifications!C:I,7,FALSE))</f>
        <v>Predominantly Rural</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22</v>
      </c>
      <c r="AH35" s="46">
        <f t="shared" si="28"/>
        <v>25</v>
      </c>
      <c r="AI35" s="5" t="str">
        <f>IF(L35="","",VLOOKUP($L35,classifications!$C:$J,8,FALSE))</f>
        <v>Unitary</v>
      </c>
      <c r="AJ35" s="42">
        <f t="shared" si="29"/>
        <v>18</v>
      </c>
      <c r="AK35" s="39">
        <f>IF(AJ35="","",IF(I$8="A",(RANK(AJ35,AJ$11:AJ$333,1)+COUNTIF(AJ$11:AJ35,AJ35)-1),(RANK(AJ35,AJ$11:AJ$333)+COUNTIF(AJ$11:AJ35,AJ35)-1)))</f>
        <v>25</v>
      </c>
      <c r="AL35" s="3">
        <f t="shared" si="16"/>
        <v>25</v>
      </c>
      <c r="AM35" t="str">
        <f t="shared" si="6"/>
        <v>Herefordshire</v>
      </c>
      <c r="AN35">
        <f t="shared" si="7"/>
        <v>18</v>
      </c>
      <c r="AP35" s="5" t="str">
        <f>IF(L35="","",VLOOKUP($L35,classifications!$C:$E,3,FALSE))</f>
        <v>West Midlands</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19</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14</v>
      </c>
      <c r="G36" s="15"/>
      <c r="H36" s="41">
        <f t="shared" si="1"/>
        <v>14</v>
      </c>
      <c r="I36" s="73">
        <f>IF(H36="","",IF($I$8="A",(RANK(H36,H$11:H$333,1)+COUNTIF(H$11:H36,H36)-1),(RANK(H36,H$11:H$333)+COUNTIF(H$11:H36,H36)-1)))</f>
        <v>15</v>
      </c>
      <c r="J36" s="40"/>
      <c r="K36" s="35">
        <f t="shared" si="10"/>
        <v>26</v>
      </c>
      <c r="L36" t="str">
        <f t="shared" si="2"/>
        <v>Bedford</v>
      </c>
      <c r="M36" s="109">
        <f t="shared" si="3"/>
        <v>19</v>
      </c>
      <c r="N36" s="104">
        <f t="shared" si="19"/>
        <v>19</v>
      </c>
      <c r="O36" s="89" t="str">
        <f t="shared" si="20"/>
        <v/>
      </c>
      <c r="P36" s="89">
        <f t="shared" si="21"/>
        <v>19</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Urban with Significant Rural</v>
      </c>
      <c r="Y36">
        <f t="shared" si="26"/>
        <v>19</v>
      </c>
      <c r="Z36" s="39">
        <f>IF(Y36="","",IF(I$8="A",(RANK(Y36,Y$11:Y$333,1)+COUNTIF(Y$11:Y36,Y36)-1),(RANK(Y36,Y$11:Y$333)+COUNTIF(Y$11:Y36,Y36)-1)))</f>
        <v>8</v>
      </c>
      <c r="AA36" s="177" t="str">
        <f>IF(L36="","",VLOOKUP($L36,classifications!C:I,7,FALSE))</f>
        <v>Urban with Significant Rural</v>
      </c>
      <c r="AB36" s="173">
        <f t="shared" si="27"/>
        <v>19</v>
      </c>
      <c r="AC36" s="173">
        <f>IF(AB36="","",IF($I$8="A",(RANK(AB36,AB$11:AB$333)+COUNTIF(AB$11:AB36,AB36)-1),(RANK(AB36,AB$11:AB$333,1)+COUNTIF(AB$11:AB36,AB36)-1)))</f>
        <v>9</v>
      </c>
      <c r="AD36" s="173"/>
      <c r="AE36" s="45">
        <f>IF(I$8="A",(RANK(AG36,AG$11:AG$333,1)+COUNTIF(AG$11:AG36,AG36)-1),(RANK(AG36,AG$11:AG$333)+COUNTIF(AG$11:AG36,AG36)-1))</f>
        <v>26</v>
      </c>
      <c r="AF36" t="str">
        <f>VLOOKUP(Profile!$J$5,Families!$C:$R,2,FALSE)</f>
        <v>Cheshire West &amp; Chester</v>
      </c>
      <c r="AG36" s="15">
        <f t="shared" si="15"/>
        <v>22</v>
      </c>
      <c r="AH36" s="46">
        <f t="shared" si="28"/>
        <v>26</v>
      </c>
      <c r="AI36" s="5" t="str">
        <f>IF(L36="","",VLOOKUP($L36,classifications!$C:$J,8,FALSE))</f>
        <v>Unitary</v>
      </c>
      <c r="AJ36" s="42">
        <f t="shared" si="29"/>
        <v>19</v>
      </c>
      <c r="AK36" s="39">
        <f>IF(AJ36="","",IF(I$8="A",(RANK(AJ36,AJ$11:AJ$333,1)+COUNTIF(AJ$11:AJ36,AJ36)-1),(RANK(AJ36,AJ$11:AJ$333)+COUNTIF(AJ$11:AJ36,AJ36)-1)))</f>
        <v>26</v>
      </c>
      <c r="AL36" s="3">
        <f t="shared" si="16"/>
        <v>26</v>
      </c>
      <c r="AM36" t="str">
        <f t="shared" si="6"/>
        <v>Bedford</v>
      </c>
      <c r="AN36">
        <f t="shared" si="7"/>
        <v>19</v>
      </c>
      <c r="AP36" s="5" t="str">
        <f>IF(L36="","",VLOOKUP($L36,classifications!$C:$E,3,FALSE))</f>
        <v>East of England</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14</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13</v>
      </c>
      <c r="G37" s="15"/>
      <c r="H37" s="41" t="str">
        <f t="shared" si="1"/>
        <v/>
      </c>
      <c r="I37" s="73" t="str">
        <f>IF(H37="","",IF($I$8="A",(RANK(H37,H$11:H$333,1)+COUNTIF(H$11:H37,H37)-1),(RANK(H37,H$11:H$333)+COUNTIF(H$11:H37,H37)-1)))</f>
        <v/>
      </c>
      <c r="J37" s="40"/>
      <c r="K37" s="35">
        <f t="shared" si="10"/>
        <v>27</v>
      </c>
      <c r="L37" t="str">
        <f t="shared" si="2"/>
        <v>Bournemouth, Christchurch &amp; Poole</v>
      </c>
      <c r="M37" s="109">
        <f t="shared" si="3"/>
        <v>19</v>
      </c>
      <c r="N37" s="104">
        <f t="shared" si="19"/>
        <v>19</v>
      </c>
      <c r="O37" s="89" t="str">
        <f t="shared" si="20"/>
        <v/>
      </c>
      <c r="P37" s="89">
        <f t="shared" si="21"/>
        <v>19</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22</v>
      </c>
      <c r="AH37" s="46">
        <f t="shared" si="28"/>
        <v>27</v>
      </c>
      <c r="AI37" s="5" t="str">
        <f>IF(L37="","",VLOOKUP($L37,classifications!$C:$J,8,FALSE))</f>
        <v>Unitary</v>
      </c>
      <c r="AJ37" s="42">
        <f t="shared" si="29"/>
        <v>19</v>
      </c>
      <c r="AK37" s="39">
        <f>IF(AJ37="","",IF(I$8="A",(RANK(AJ37,AJ$11:AJ$333,1)+COUNTIF(AJ$11:AJ37,AJ37)-1),(RANK(AJ37,AJ$11:AJ$333)+COUNTIF(AJ$11:AJ37,AJ37)-1)))</f>
        <v>27</v>
      </c>
      <c r="AL37" s="3">
        <f t="shared" si="16"/>
        <v>27</v>
      </c>
      <c r="AM37" t="str">
        <f t="shared" si="6"/>
        <v>Bournemouth, Christchurch &amp; Poole</v>
      </c>
      <c r="AN37">
        <f t="shared" si="7"/>
        <v>19</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13</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16</v>
      </c>
      <c r="G38" s="15"/>
      <c r="H38" s="41" t="str">
        <f t="shared" si="1"/>
        <v/>
      </c>
      <c r="I38" s="73" t="str">
        <f>IF(H38="","",IF($I$8="A",(RANK(H38,H$11:H$333,1)+COUNTIF(H$11:H38,H38)-1),(RANK(H38,H$11:H$333)+COUNTIF(H$11:H38,H38)-1)))</f>
        <v/>
      </c>
      <c r="J38" s="40"/>
      <c r="K38" s="35">
        <f t="shared" si="10"/>
        <v>28</v>
      </c>
      <c r="L38" t="str">
        <f t="shared" si="2"/>
        <v>Darlington</v>
      </c>
      <c r="M38" s="109">
        <f t="shared" si="3"/>
        <v>19</v>
      </c>
      <c r="N38" s="104">
        <f t="shared" si="19"/>
        <v>19</v>
      </c>
      <c r="O38" s="89" t="str">
        <f t="shared" si="20"/>
        <v/>
      </c>
      <c r="P38" s="89">
        <f t="shared" si="21"/>
        <v>19</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22</v>
      </c>
      <c r="AH38" s="46">
        <f t="shared" si="28"/>
        <v>28</v>
      </c>
      <c r="AI38" s="5" t="str">
        <f>IF(L38="","",VLOOKUP($L38,classifications!$C:$J,8,FALSE))</f>
        <v>Unitary</v>
      </c>
      <c r="AJ38" s="42">
        <f t="shared" si="29"/>
        <v>19</v>
      </c>
      <c r="AK38" s="39">
        <f>IF(AJ38="","",IF(I$8="A",(RANK(AJ38,AJ$11:AJ$333,1)+COUNTIF(AJ$11:AJ38,AJ38)-1),(RANK(AJ38,AJ$11:AJ$333)+COUNTIF(AJ$11:AJ38,AJ38)-1)))</f>
        <v>28</v>
      </c>
      <c r="AL38" s="3">
        <f t="shared" si="16"/>
        <v>28</v>
      </c>
      <c r="AM38" t="str">
        <f t="shared" si="6"/>
        <v>Darlington</v>
      </c>
      <c r="AN38">
        <f t="shared" si="7"/>
        <v>19</v>
      </c>
      <c r="AP38" s="5" t="str">
        <f>IF(L38="","",VLOOKUP($L38,classifications!$C:$E,3,FALSE))</f>
        <v>NE</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16</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20</v>
      </c>
      <c r="G39" s="15"/>
      <c r="H39" s="41" t="str">
        <f t="shared" si="1"/>
        <v/>
      </c>
      <c r="I39" s="73" t="str">
        <f>IF(H39="","",IF($I$8="A",(RANK(H39,H$11:H$333,1)+COUNTIF(H$11:H39,H39)-1),(RANK(H39,H$11:H$333)+COUNTIF(H$11:H39,H39)-1)))</f>
        <v/>
      </c>
      <c r="J39" s="40"/>
      <c r="K39" s="35">
        <f t="shared" si="10"/>
        <v>29</v>
      </c>
      <c r="L39" t="str">
        <f t="shared" si="2"/>
        <v>South Gloucestershire</v>
      </c>
      <c r="M39" s="109">
        <f t="shared" si="3"/>
        <v>19</v>
      </c>
      <c r="N39" s="104">
        <f t="shared" si="19"/>
        <v>19</v>
      </c>
      <c r="O39" s="89" t="str">
        <f t="shared" si="20"/>
        <v/>
      </c>
      <c r="P39" s="89">
        <f t="shared" si="21"/>
        <v>19</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22</v>
      </c>
      <c r="AH39" s="46">
        <f t="shared" si="28"/>
        <v>29</v>
      </c>
      <c r="AI39" s="5" t="str">
        <f>IF(L39="","",VLOOKUP($L39,classifications!$C:$J,8,FALSE))</f>
        <v>Unitary</v>
      </c>
      <c r="AJ39" s="42">
        <f t="shared" si="29"/>
        <v>19</v>
      </c>
      <c r="AK39" s="39">
        <f>IF(AJ39="","",IF(I$8="A",(RANK(AJ39,AJ$11:AJ$333,1)+COUNTIF(AJ$11:AJ39,AJ39)-1),(RANK(AJ39,AJ$11:AJ$333)+COUNTIF(AJ$11:AJ39,AJ39)-1)))</f>
        <v>29</v>
      </c>
      <c r="AL39" s="3">
        <f t="shared" si="16"/>
        <v>29</v>
      </c>
      <c r="AM39" t="str">
        <f t="shared" si="6"/>
        <v>South Gloucestershire</v>
      </c>
      <c r="AN39">
        <f t="shared" si="7"/>
        <v>19</v>
      </c>
      <c r="AP39" s="5" t="str">
        <f>IF(L39="","",VLOOKUP($L39,classifications!$C:$E,3,FALSE))</f>
        <v>South West</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20</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21</v>
      </c>
      <c r="G40" s="15"/>
      <c r="H40" s="41" t="str">
        <f t="shared" si="1"/>
        <v/>
      </c>
      <c r="I40" s="73" t="str">
        <f>IF(H40="","",IF($I$8="A",(RANK(H40,H$11:H$333,1)+COUNTIF(H$11:H40,H40)-1),(RANK(H40,H$11:H$333)+COUNTIF(H$11:H40,H40)-1)))</f>
        <v/>
      </c>
      <c r="J40" s="40"/>
      <c r="K40" s="35">
        <f t="shared" si="10"/>
        <v>30</v>
      </c>
      <c r="L40" t="str">
        <f t="shared" si="2"/>
        <v>Torbay</v>
      </c>
      <c r="M40" s="109">
        <f t="shared" si="3"/>
        <v>19</v>
      </c>
      <c r="N40" s="104">
        <f t="shared" si="19"/>
        <v>19</v>
      </c>
      <c r="O40" s="89" t="str">
        <f t="shared" si="20"/>
        <v/>
      </c>
      <c r="P40" s="89">
        <f t="shared" si="21"/>
        <v>19</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22</v>
      </c>
      <c r="AH40" s="46">
        <f t="shared" si="28"/>
        <v>30</v>
      </c>
      <c r="AI40" s="5" t="str">
        <f>IF(L40="","",VLOOKUP($L40,classifications!$C:$J,8,FALSE))</f>
        <v>Unitary</v>
      </c>
      <c r="AJ40" s="42">
        <f t="shared" si="29"/>
        <v>19</v>
      </c>
      <c r="AK40" s="39">
        <f>IF(AJ40="","",IF(I$8="A",(RANK(AJ40,AJ$11:AJ$333,1)+COUNTIF(AJ$11:AJ40,AJ40)-1),(RANK(AJ40,AJ$11:AJ$333)+COUNTIF(AJ$11:AJ40,AJ40)-1)))</f>
        <v>30</v>
      </c>
      <c r="AL40" s="3">
        <f t="shared" si="16"/>
        <v>30</v>
      </c>
      <c r="AM40" t="str">
        <f t="shared" si="6"/>
        <v>Torbay</v>
      </c>
      <c r="AN40">
        <f t="shared" si="7"/>
        <v>19</v>
      </c>
      <c r="AP40" s="5" t="str">
        <f>IF(L40="","",VLOOKUP($L40,classifications!$C:$E,3,FALSE))</f>
        <v>South West</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21</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18</v>
      </c>
      <c r="G41" s="15"/>
      <c r="H41" s="41" t="str">
        <f t="shared" si="1"/>
        <v/>
      </c>
      <c r="I41" s="73" t="str">
        <f>IF(H41="","",IF($I$8="A",(RANK(H41,H$11:H$333,1)+COUNTIF(H$11:H41,H41)-1),(RANK(H41,H$11:H$333)+COUNTIF(H$11:H41,H41)-1)))</f>
        <v/>
      </c>
      <c r="J41" s="40"/>
      <c r="K41" s="35">
        <f t="shared" si="10"/>
        <v>31</v>
      </c>
      <c r="L41" t="str">
        <f t="shared" si="2"/>
        <v>Cheshire East</v>
      </c>
      <c r="M41" s="109">
        <f t="shared" si="3"/>
        <v>20</v>
      </c>
      <c r="N41" s="104">
        <f t="shared" si="19"/>
        <v>20</v>
      </c>
      <c r="O41" s="89" t="str">
        <f t="shared" si="20"/>
        <v/>
      </c>
      <c r="P41" s="89">
        <f t="shared" si="21"/>
        <v>20</v>
      </c>
      <c r="Q41" s="89" t="str">
        <f t="shared" si="22"/>
        <v/>
      </c>
      <c r="R41" s="85" t="str">
        <f t="shared" si="23"/>
        <v/>
      </c>
      <c r="S41" s="41" t="str">
        <f t="shared" si="24"/>
        <v>u</v>
      </c>
      <c r="T41" s="166" t="str">
        <f>IF(L41="","",VLOOKUP(L41,classifications!C:K,9,FALSE))</f>
        <v>Sparse</v>
      </c>
      <c r="U41" s="167">
        <f t="shared" si="25"/>
        <v>20</v>
      </c>
      <c r="V41" s="173">
        <f>IF(U41="","",IF($I$8="A",(RANK(U41,U$11:U$333)+COUNTIF(U$11:U41,U41)-1),(RANK(U41,U$11:U$333,1)+COUNTIF(U$11:U41,U41)-1)))</f>
        <v>8</v>
      </c>
      <c r="W41" s="174"/>
      <c r="X41" s="5" t="str">
        <f>IF(L41="","",VLOOKUP($L41,classifications!$C:$J,6,FALSE))</f>
        <v>Urban with Significant Rural</v>
      </c>
      <c r="Y41">
        <f t="shared" si="26"/>
        <v>20</v>
      </c>
      <c r="Z41" s="39">
        <f>IF(Y41="","",IF(I$8="A",(RANK(Y41,Y$11:Y$333,1)+COUNTIF(Y$11:Y41,Y41)-1),(RANK(Y41,Y$11:Y$333)+COUNTIF(Y$11:Y41,Y41)-1)))</f>
        <v>9</v>
      </c>
      <c r="AA41" s="177" t="str">
        <f>IF(L41="","",VLOOKUP($L41,classifications!C:I,7,FALSE))</f>
        <v>Urban with Significant Rural</v>
      </c>
      <c r="AB41" s="173">
        <f t="shared" si="27"/>
        <v>20</v>
      </c>
      <c r="AC41" s="173">
        <f>IF(AB41="","",IF($I$8="A",(RANK(AB41,AB$11:AB$333)+COUNTIF(AB$11:AB41,AB41)-1),(RANK(AB41,AB$11:AB$333,1)+COUNTIF(AB$11:AB41,AB41)-1)))</f>
        <v>8</v>
      </c>
      <c r="AD41" s="173"/>
      <c r="AE41" s="45">
        <f>IF(I$8="A",(RANK(AG41,AG$11:AG$333,1)+COUNTIF(AG$11:AG41,AG41)-1),(RANK(AG41,AG$11:AG$333)+COUNTIF(AG$11:AG41,AG41)-1))</f>
        <v>31</v>
      </c>
      <c r="AF41" t="str">
        <f>VLOOKUP(Profile!$J$5,Families!$C:$R,2,FALSE)</f>
        <v>Cheshire West &amp; Chester</v>
      </c>
      <c r="AG41" s="15">
        <f t="shared" si="15"/>
        <v>22</v>
      </c>
      <c r="AH41" s="46">
        <f t="shared" si="28"/>
        <v>31</v>
      </c>
      <c r="AI41" s="5" t="str">
        <f>IF(L41="","",VLOOKUP($L41,classifications!$C:$J,8,FALSE))</f>
        <v>Unitary</v>
      </c>
      <c r="AJ41" s="42">
        <f t="shared" si="29"/>
        <v>20</v>
      </c>
      <c r="AK41" s="39">
        <f>IF(AJ41="","",IF(I$8="A",(RANK(AJ41,AJ$11:AJ$333,1)+COUNTIF(AJ$11:AJ41,AJ41)-1),(RANK(AJ41,AJ$11:AJ$333)+COUNTIF(AJ$11:AJ41,AJ41)-1)))</f>
        <v>31</v>
      </c>
      <c r="AL41" s="3">
        <f t="shared" si="16"/>
        <v>31</v>
      </c>
      <c r="AM41" t="str">
        <f t="shared" si="6"/>
        <v>Cheshire East</v>
      </c>
      <c r="AN41">
        <f t="shared" si="7"/>
        <v>20</v>
      </c>
      <c r="AP41" s="5" t="str">
        <f>IF(L41="","",VLOOKUP($L41,classifications!$C:$E,3,FALSE))</f>
        <v>North West</v>
      </c>
      <c r="AQ41" s="42">
        <f t="shared" si="30"/>
        <v>20</v>
      </c>
      <c r="AR41" s="39">
        <f>IF(AQ41="","",IF(I$8="A",(RANK(AQ41,AQ$11:AQ$333,1)+COUNTIF(AQ$11:AQ41,AQ41)-1),(RANK(AQ41,AQ$11:AQ$333)+COUNTIF(AQ$11:AQ41,AQ41)-1)))</f>
        <v>4</v>
      </c>
      <c r="AS41" s="3" t="str">
        <f t="shared" si="18"/>
        <v/>
      </c>
      <c r="AT41" s="39" t="str">
        <f t="shared" si="8"/>
        <v/>
      </c>
      <c r="AU41" s="42" t="str">
        <f t="shared" si="9"/>
        <v/>
      </c>
      <c r="AX41">
        <f>HLOOKUP($AX$9&amp;$AX$10,Data!$A$1:$ZT$1975,(MATCH($C41,Data!$A$1:$A$1975,0)),FALSE)</f>
        <v>18</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33</v>
      </c>
      <c r="G42" s="15"/>
      <c r="H42" s="41">
        <f t="shared" si="1"/>
        <v>33</v>
      </c>
      <c r="I42" s="73">
        <f>IF(H42="","",IF($I$8="A",(RANK(H42,H$11:H$333,1)+COUNTIF(H$11:H42,H42)-1),(RANK(H42,H$11:H$333)+COUNTIF(H$11:H42,H42)-1)))</f>
        <v>60</v>
      </c>
      <c r="J42" s="40"/>
      <c r="K42" s="35">
        <f t="shared" si="10"/>
        <v>32</v>
      </c>
      <c r="L42" t="str">
        <f t="shared" si="2"/>
        <v>Dorset</v>
      </c>
      <c r="M42" s="109">
        <f t="shared" si="3"/>
        <v>20</v>
      </c>
      <c r="N42" s="104">
        <f t="shared" si="19"/>
        <v>20</v>
      </c>
      <c r="O42" s="89" t="str">
        <f t="shared" si="20"/>
        <v/>
      </c>
      <c r="P42" s="89">
        <f t="shared" si="21"/>
        <v>20</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Rural</v>
      </c>
      <c r="Y42" t="str">
        <f t="shared" si="26"/>
        <v/>
      </c>
      <c r="Z42" s="39" t="str">
        <f>IF(Y42="","",IF(I$8="A",(RANK(Y42,Y$11:Y$333,1)+COUNTIF(Y$11:Y42,Y42)-1),(RANK(Y42,Y$11:Y$333)+COUNTIF(Y$11:Y42,Y42)-1)))</f>
        <v/>
      </c>
      <c r="AA42" s="177" t="str">
        <f>IF(L42="","",VLOOKUP($L42,classifications!C:I,7,FALSE))</f>
        <v>Predominantly Rural</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22</v>
      </c>
      <c r="AH42" s="46">
        <f t="shared" si="28"/>
        <v>32</v>
      </c>
      <c r="AI42" s="5" t="str">
        <f>IF(L42="","",VLOOKUP($L42,classifications!$C:$J,8,FALSE))</f>
        <v>Unitary</v>
      </c>
      <c r="AJ42" s="42">
        <f t="shared" si="29"/>
        <v>20</v>
      </c>
      <c r="AK42" s="39">
        <f>IF(AJ42="","",IF(I$8="A",(RANK(AJ42,AJ$11:AJ$333,1)+COUNTIF(AJ$11:AJ42,AJ42)-1),(RANK(AJ42,AJ$11:AJ$333)+COUNTIF(AJ$11:AJ42,AJ42)-1)))</f>
        <v>32</v>
      </c>
      <c r="AL42" s="3">
        <f t="shared" si="16"/>
        <v>32</v>
      </c>
      <c r="AM42" t="str">
        <f t="shared" si="6"/>
        <v>Dorset</v>
      </c>
      <c r="AN42">
        <f t="shared" si="7"/>
        <v>20</v>
      </c>
      <c r="AP42" s="5" t="str">
        <f>IF(L42="","",VLOOKUP($L42,classifications!$C:$E,3,FALSE))</f>
        <v>South West</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33</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17</v>
      </c>
      <c r="G43" s="15"/>
      <c r="H43" s="41">
        <f t="shared" si="1"/>
        <v>17</v>
      </c>
      <c r="I43" s="73">
        <f>IF(H43="","",IF($I$8="A",(RANK(H43,H$11:H$333,1)+COUNTIF(H$11:H43,H43)-1),(RANK(H43,H$11:H$333)+COUNTIF(H$11:H43,H43)-1)))</f>
        <v>23</v>
      </c>
      <c r="J43" s="40"/>
      <c r="K43" s="35">
        <f t="shared" si="10"/>
        <v>33</v>
      </c>
      <c r="L43" t="str">
        <f t="shared" si="2"/>
        <v>Leicester</v>
      </c>
      <c r="M43" s="109">
        <f t="shared" si="3"/>
        <v>20</v>
      </c>
      <c r="N43" s="104">
        <f t="shared" si="19"/>
        <v>20</v>
      </c>
      <c r="O43" s="89" t="str">
        <f t="shared" si="20"/>
        <v/>
      </c>
      <c r="P43" s="89">
        <f t="shared" si="21"/>
        <v>20</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22</v>
      </c>
      <c r="AH43" s="46">
        <f t="shared" si="28"/>
        <v>33</v>
      </c>
      <c r="AI43" s="5" t="str">
        <f>IF(L43="","",VLOOKUP($L43,classifications!$C:$J,8,FALSE))</f>
        <v>Unitary</v>
      </c>
      <c r="AJ43" s="42">
        <f t="shared" si="29"/>
        <v>20</v>
      </c>
      <c r="AK43" s="39">
        <f>IF(AJ43="","",IF(I$8="A",(RANK(AJ43,AJ$11:AJ$333,1)+COUNTIF(AJ$11:AJ43,AJ43)-1),(RANK(AJ43,AJ$11:AJ$333)+COUNTIF(AJ$11:AJ43,AJ43)-1)))</f>
        <v>33</v>
      </c>
      <c r="AL43" s="3">
        <f t="shared" si="16"/>
        <v>33</v>
      </c>
      <c r="AM43" t="str">
        <f t="shared" si="6"/>
        <v>Leicester</v>
      </c>
      <c r="AN43">
        <f t="shared" si="7"/>
        <v>20</v>
      </c>
      <c r="AP43" s="5" t="str">
        <f>IF(L43="","",VLOOKUP($L43,classifications!$C:$E,3,FALSE))</f>
        <v>East Midlands</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17</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41</v>
      </c>
      <c r="G44" s="15"/>
      <c r="H44" s="41" t="str">
        <f t="shared" si="1"/>
        <v/>
      </c>
      <c r="I44" s="73" t="str">
        <f>IF(H44="","",IF($I$8="A",(RANK(H44,H$11:H$333,1)+COUNTIF(H$11:H44,H44)-1),(RANK(H44,H$11:H$333)+COUNTIF(H$11:H44,H44)-1)))</f>
        <v/>
      </c>
      <c r="J44" s="40"/>
      <c r="K44" s="35">
        <f t="shared" si="10"/>
        <v>34</v>
      </c>
      <c r="L44" t="str">
        <f t="shared" si="2"/>
        <v>North Yorkshire</v>
      </c>
      <c r="M44" s="109">
        <f t="shared" si="3"/>
        <v>20</v>
      </c>
      <c r="N44" s="104">
        <f t="shared" si="19"/>
        <v>20</v>
      </c>
      <c r="O44" s="89" t="str">
        <f t="shared" si="20"/>
        <v/>
      </c>
      <c r="P44" s="89">
        <f t="shared" si="21"/>
        <v>20</v>
      </c>
      <c r="Q44" s="89" t="str">
        <f t="shared" si="22"/>
        <v/>
      </c>
      <c r="R44" s="85" t="str">
        <f t="shared" si="23"/>
        <v/>
      </c>
      <c r="S44" s="41" t="str">
        <f t="shared" si="24"/>
        <v/>
      </c>
      <c r="T44" s="166" t="str">
        <f>IF(L44="","",VLOOKUP(L44,classifications!C:K,9,FALSE))</f>
        <v>Sparse</v>
      </c>
      <c r="U44" s="167">
        <f t="shared" si="25"/>
        <v>20</v>
      </c>
      <c r="V44" s="173">
        <f>IF(U44="","",IF($I$8="A",(RANK(U44,U$11:U$333)+COUNTIF(U$11:U44,U44)-1),(RANK(U44,U$11:U$333,1)+COUNTIF(U$11:U44,U44)-1)))</f>
        <v>9</v>
      </c>
      <c r="W44" s="174"/>
      <c r="X44" s="5" t="str">
        <f>IF(L44="","",VLOOKUP($L44,classifications!$C:$J,6,FALSE))</f>
        <v>Predominantly Rural</v>
      </c>
      <c r="Y44" t="str">
        <f t="shared" si="26"/>
        <v/>
      </c>
      <c r="Z44" s="39" t="str">
        <f>IF(Y44="","",IF(I$8="A",(RANK(Y44,Y$11:Y$333,1)+COUNTIF(Y$11:Y44,Y44)-1),(RANK(Y44,Y$11:Y$333)+COUNTIF(Y$11:Y44,Y44)-1)))</f>
        <v/>
      </c>
      <c r="AA44" s="177" t="str">
        <f>IF(L44="","",VLOOKUP($L44,classifications!C:I,7,FALSE))</f>
        <v>Predominantly Rural</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22</v>
      </c>
      <c r="AH44" s="46">
        <f t="shared" si="28"/>
        <v>34</v>
      </c>
      <c r="AI44" s="5" t="str">
        <f>IF(L44="","",VLOOKUP($L44,classifications!$C:$J,8,FALSE))</f>
        <v>Unitary</v>
      </c>
      <c r="AJ44" s="42">
        <f t="shared" si="29"/>
        <v>20</v>
      </c>
      <c r="AK44" s="39">
        <f>IF(AJ44="","",IF(I$8="A",(RANK(AJ44,AJ$11:AJ$333,1)+COUNTIF(AJ$11:AJ44,AJ44)-1),(RANK(AJ44,AJ$11:AJ$333)+COUNTIF(AJ$11:AJ44,AJ44)-1)))</f>
        <v>34</v>
      </c>
      <c r="AL44" s="3">
        <f t="shared" si="16"/>
        <v>34</v>
      </c>
      <c r="AM44" t="str">
        <f t="shared" si="6"/>
        <v>North Yorkshire</v>
      </c>
      <c r="AN44">
        <f t="shared" si="7"/>
        <v>20</v>
      </c>
      <c r="AP44" s="5" t="str">
        <f>IF(L44="","",VLOOKUP($L44,classifications!$C:$E,3,FALSE))</f>
        <v>Yorkshire &amp; Humberside</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41</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15</v>
      </c>
      <c r="G45" s="15"/>
      <c r="H45" s="41" t="str">
        <f t="shared" si="1"/>
        <v/>
      </c>
      <c r="I45" s="73" t="str">
        <f>IF(H45="","",IF($I$8="A",(RANK(H45,H$11:H$333,1)+COUNTIF(H$11:H45,H45)-1),(RANK(H45,H$11:H$333)+COUNTIF(H$11:H45,H45)-1)))</f>
        <v/>
      </c>
      <c r="J45" s="40"/>
      <c r="K45" s="35">
        <f t="shared" si="10"/>
        <v>35</v>
      </c>
      <c r="L45" t="str">
        <f t="shared" si="2"/>
        <v>Stoke-on-Trent</v>
      </c>
      <c r="M45" s="109">
        <f t="shared" si="3"/>
        <v>20</v>
      </c>
      <c r="N45" s="104">
        <f t="shared" si="19"/>
        <v>20</v>
      </c>
      <c r="O45" s="89" t="str">
        <f t="shared" si="20"/>
        <v/>
      </c>
      <c r="P45" s="89">
        <f t="shared" si="21"/>
        <v>20</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22</v>
      </c>
      <c r="AH45" s="46">
        <f t="shared" si="28"/>
        <v>35</v>
      </c>
      <c r="AI45" s="5" t="str">
        <f>IF(L45="","",VLOOKUP($L45,classifications!$C:$J,8,FALSE))</f>
        <v>Unitary</v>
      </c>
      <c r="AJ45" s="42">
        <f t="shared" si="29"/>
        <v>20</v>
      </c>
      <c r="AK45" s="39">
        <f>IF(AJ45="","",IF(I$8="A",(RANK(AJ45,AJ$11:AJ$333,1)+COUNTIF(AJ$11:AJ45,AJ45)-1),(RANK(AJ45,AJ$11:AJ$333)+COUNTIF(AJ$11:AJ45,AJ45)-1)))</f>
        <v>35</v>
      </c>
      <c r="AL45" s="3">
        <f t="shared" si="16"/>
        <v>35</v>
      </c>
      <c r="AM45" t="str">
        <f t="shared" si="6"/>
        <v>Stoke-on-Trent</v>
      </c>
      <c r="AN45">
        <f t="shared" si="7"/>
        <v>20</v>
      </c>
      <c r="AP45" s="5" t="str">
        <f>IF(L45="","",VLOOKUP($L45,classifications!$C:$E,3,FALSE))</f>
        <v>West Midlands</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15</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19</v>
      </c>
      <c r="G46" s="15"/>
      <c r="H46" s="41" t="str">
        <f t="shared" si="1"/>
        <v/>
      </c>
      <c r="I46" s="73" t="str">
        <f>IF(H46="","",IF($I$8="A",(RANK(H46,H$11:H$333,1)+COUNTIF(H$11:H46,H46)-1),(RANK(H46,H$11:H$333)+COUNTIF(H$11:H46,H46)-1)))</f>
        <v/>
      </c>
      <c r="J46" s="40"/>
      <c r="K46" s="35">
        <f t="shared" si="10"/>
        <v>36</v>
      </c>
      <c r="L46" t="str">
        <f t="shared" si="2"/>
        <v>Wiltshire</v>
      </c>
      <c r="M46" s="109">
        <f t="shared" si="3"/>
        <v>20</v>
      </c>
      <c r="N46" s="104">
        <f t="shared" si="19"/>
        <v>20</v>
      </c>
      <c r="O46" s="89" t="str">
        <f t="shared" si="20"/>
        <v/>
      </c>
      <c r="P46" s="89">
        <f t="shared" si="21"/>
        <v>20</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 xml:space="preserve">Predominantly Rural </v>
      </c>
      <c r="Y46">
        <f t="shared" si="26"/>
        <v>20</v>
      </c>
      <c r="Z46" s="39">
        <f>IF(Y46="","",IF(I$8="A",(RANK(Y46,Y$11:Y$333,1)+COUNTIF(Y$11:Y46,Y46)-1),(RANK(Y46,Y$11:Y$333)+COUNTIF(Y$11:Y46,Y46)-1)))</f>
        <v>10</v>
      </c>
      <c r="AA46" s="177" t="str">
        <f>IF(L46="","",VLOOKUP($L46,classifications!C:I,7,FALSE))</f>
        <v>Predominantly Rural</v>
      </c>
      <c r="AB46" s="173" t="str">
        <f t="shared" si="27"/>
        <v/>
      </c>
      <c r="AC46" s="173" t="str">
        <f>IF(AB46="","",IF($I$8="A",(RANK(AB46,AB$11:AB$333)+COUNTIF(AB$11:AB46,AB46)-1),(RANK(AB46,AB$11:AB$333,1)+COUNTIF(AB$11:AB46,AB46)-1)))</f>
        <v/>
      </c>
      <c r="AD46" s="173"/>
      <c r="AE46" s="45">
        <f>IF(I$8="A",(RANK(AG46,AG$11:AG$333,1)+COUNTIF(AG$11:AG46,AG46)-1),(RANK(AG46,AG$11:AG$333)+COUNTIF(AG$11:AG46,AG46)-1))</f>
        <v>36</v>
      </c>
      <c r="AF46" t="str">
        <f>VLOOKUP(Profile!$J$5,Families!$C:$R,2,FALSE)</f>
        <v>Cheshire West &amp; Chester</v>
      </c>
      <c r="AG46" s="15">
        <f t="shared" si="15"/>
        <v>22</v>
      </c>
      <c r="AH46" s="46">
        <f t="shared" si="28"/>
        <v>36</v>
      </c>
      <c r="AI46" s="5" t="str">
        <f>IF(L46="","",VLOOKUP($L46,classifications!$C:$J,8,FALSE))</f>
        <v>Unitary</v>
      </c>
      <c r="AJ46" s="42">
        <f t="shared" si="29"/>
        <v>20</v>
      </c>
      <c r="AK46" s="39">
        <f>IF(AJ46="","",IF(I$8="A",(RANK(AJ46,AJ$11:AJ$333,1)+COUNTIF(AJ$11:AJ46,AJ46)-1),(RANK(AJ46,AJ$11:AJ$333)+COUNTIF(AJ$11:AJ46,AJ46)-1)))</f>
        <v>36</v>
      </c>
      <c r="AL46" s="3">
        <f t="shared" si="16"/>
        <v>36</v>
      </c>
      <c r="AM46" t="str">
        <f t="shared" si="6"/>
        <v>Wiltshire</v>
      </c>
      <c r="AN46">
        <f t="shared" si="7"/>
        <v>20</v>
      </c>
      <c r="AP46" s="5" t="str">
        <f>IF(L46="","",VLOOKUP($L46,classifications!$C:$E,3,FALSE))</f>
        <v>South West</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19</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15</v>
      </c>
      <c r="G47" s="15"/>
      <c r="H47" s="41" t="str">
        <f t="shared" si="1"/>
        <v/>
      </c>
      <c r="I47" s="73" t="str">
        <f>IF(H47="","",IF($I$8="A",(RANK(H47,H$11:H$333,1)+COUNTIF(H$11:H47,H47)-1),(RANK(H47,H$11:H$333)+COUNTIF(H$11:H47,H47)-1)))</f>
        <v/>
      </c>
      <c r="J47" s="40"/>
      <c r="K47" s="35">
        <f t="shared" si="10"/>
        <v>37</v>
      </c>
      <c r="L47" t="str">
        <f t="shared" si="2"/>
        <v>North Lincolnshire</v>
      </c>
      <c r="M47" s="109">
        <f t="shared" si="3"/>
        <v>21</v>
      </c>
      <c r="N47" s="104">
        <f t="shared" si="19"/>
        <v>21</v>
      </c>
      <c r="O47" s="89" t="str">
        <f t="shared" si="20"/>
        <v/>
      </c>
      <c r="P47" s="89" t="str">
        <f t="shared" si="21"/>
        <v/>
      </c>
      <c r="Q47" s="89">
        <f t="shared" si="22"/>
        <v>21</v>
      </c>
      <c r="R47" s="85" t="str">
        <f t="shared" si="23"/>
        <v/>
      </c>
      <c r="S47" s="41" t="str">
        <f t="shared" si="24"/>
        <v/>
      </c>
      <c r="T47" s="166" t="str">
        <f>IF(L47="","",VLOOKUP(L47,classifications!C:K,9,FALSE))</f>
        <v>Sparse</v>
      </c>
      <c r="U47" s="167">
        <f t="shared" si="25"/>
        <v>21</v>
      </c>
      <c r="V47" s="173">
        <f>IF(U47="","",IF($I$8="A",(RANK(U47,U$11:U$333)+COUNTIF(U$11:U47,U47)-1),(RANK(U47,U$11:U$333,1)+COUNTIF(U$11:U47,U47)-1)))</f>
        <v>7</v>
      </c>
      <c r="W47" s="174"/>
      <c r="X47" s="5" t="str">
        <f>IF(L47="","",VLOOKUP($L47,classifications!$C:$J,6,FALSE))</f>
        <v>Urban with Significant Rural</v>
      </c>
      <c r="Y47">
        <f t="shared" si="26"/>
        <v>21</v>
      </c>
      <c r="Z47" s="39">
        <f>IF(Y47="","",IF(I$8="A",(RANK(Y47,Y$11:Y$333,1)+COUNTIF(Y$11:Y47,Y47)-1),(RANK(Y47,Y$11:Y$333)+COUNTIF(Y$11:Y47,Y47)-1)))</f>
        <v>11</v>
      </c>
      <c r="AA47" s="177" t="str">
        <f>IF(L47="","",VLOOKUP($L47,classifications!C:I,7,FALSE))</f>
        <v>Urban with Significant Rural</v>
      </c>
      <c r="AB47" s="173">
        <f t="shared" si="27"/>
        <v>21</v>
      </c>
      <c r="AC47" s="173">
        <f>IF(AB47="","",IF($I$8="A",(RANK(AB47,AB$11:AB$333)+COUNTIF(AB$11:AB47,AB47)-1),(RANK(AB47,AB$11:AB$333,1)+COUNTIF(AB$11:AB47,AB47)-1)))</f>
        <v>7</v>
      </c>
      <c r="AD47" s="173"/>
      <c r="AE47" s="45">
        <f>IF(I$8="A",(RANK(AG47,AG$11:AG$333,1)+COUNTIF(AG$11:AG47,AG47)-1),(RANK(AG47,AG$11:AG$333)+COUNTIF(AG$11:AG47,AG47)-1))</f>
        <v>37</v>
      </c>
      <c r="AF47" t="str">
        <f>VLOOKUP(Profile!$J$5,Families!$C:$R,2,FALSE)</f>
        <v>Cheshire West &amp; Chester</v>
      </c>
      <c r="AG47" s="15">
        <f t="shared" si="15"/>
        <v>22</v>
      </c>
      <c r="AH47" s="46">
        <f t="shared" si="28"/>
        <v>37</v>
      </c>
      <c r="AI47" s="5" t="str">
        <f>IF(L47="","",VLOOKUP($L47,classifications!$C:$J,8,FALSE))</f>
        <v>Unitary</v>
      </c>
      <c r="AJ47" s="42">
        <f t="shared" si="29"/>
        <v>21</v>
      </c>
      <c r="AK47" s="39">
        <f>IF(AJ47="","",IF(I$8="A",(RANK(AJ47,AJ$11:AJ$333,1)+COUNTIF(AJ$11:AJ47,AJ47)-1),(RANK(AJ47,AJ$11:AJ$333)+COUNTIF(AJ$11:AJ47,AJ47)-1)))</f>
        <v>37</v>
      </c>
      <c r="AL47" s="3">
        <f t="shared" si="16"/>
        <v>37</v>
      </c>
      <c r="AM47" t="str">
        <f t="shared" si="6"/>
        <v>North Lincolnshire</v>
      </c>
      <c r="AN47">
        <f t="shared" si="7"/>
        <v>21</v>
      </c>
      <c r="AP47" s="5" t="str">
        <f>IF(L47="","",VLOOKUP($L47,classifications!$C:$E,3,FALSE))</f>
        <v>Yorkshire &amp; Humberside</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15</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7</v>
      </c>
      <c r="G48" s="15"/>
      <c r="H48" s="41" t="str">
        <f t="shared" si="1"/>
        <v/>
      </c>
      <c r="I48" s="73" t="str">
        <f>IF(H48="","",IF($I$8="A",(RANK(H48,H$11:H$333,1)+COUNTIF(H$11:H48,H48)-1),(RANK(H48,H$11:H$333)+COUNTIF(H$11:H48,H48)-1)))</f>
        <v/>
      </c>
      <c r="J48" s="40"/>
      <c r="K48" s="35">
        <f t="shared" si="10"/>
        <v>38</v>
      </c>
      <c r="L48" t="str">
        <f t="shared" si="2"/>
        <v>Nottingham</v>
      </c>
      <c r="M48" s="109">
        <f t="shared" si="3"/>
        <v>21</v>
      </c>
      <c r="N48" s="104">
        <f t="shared" si="19"/>
        <v>21</v>
      </c>
      <c r="O48" s="89" t="str">
        <f t="shared" si="20"/>
        <v/>
      </c>
      <c r="P48" s="89" t="str">
        <f t="shared" si="21"/>
        <v/>
      </c>
      <c r="Q48" s="89">
        <f t="shared" si="22"/>
        <v>21</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22</v>
      </c>
      <c r="AH48" s="46">
        <f t="shared" si="28"/>
        <v>38</v>
      </c>
      <c r="AI48" s="5" t="str">
        <f>IF(L48="","",VLOOKUP($L48,classifications!$C:$J,8,FALSE))</f>
        <v>Unitary</v>
      </c>
      <c r="AJ48" s="42">
        <f t="shared" si="29"/>
        <v>21</v>
      </c>
      <c r="AK48" s="39">
        <f>IF(AJ48="","",IF(I$8="A",(RANK(AJ48,AJ$11:AJ$333,1)+COUNTIF(AJ$11:AJ48,AJ48)-1),(RANK(AJ48,AJ$11:AJ$333)+COUNTIF(AJ$11:AJ48,AJ48)-1)))</f>
        <v>38</v>
      </c>
      <c r="AL48" s="3">
        <f t="shared" si="16"/>
        <v>38</v>
      </c>
      <c r="AM48" t="str">
        <f t="shared" si="6"/>
        <v>Nottingham</v>
      </c>
      <c r="AN48">
        <f t="shared" si="7"/>
        <v>21</v>
      </c>
      <c r="AP48" s="5" t="str">
        <f>IF(L48="","",VLOOKUP($L48,classifications!$C:$E,3,FALSE))</f>
        <v>East Midlands</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7</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23</v>
      </c>
      <c r="G49" s="15"/>
      <c r="H49" s="41">
        <f t="shared" si="1"/>
        <v>23</v>
      </c>
      <c r="I49" s="73">
        <f>IF(H49="","",IF($I$8="A",(RANK(H49,H$11:H$333,1)+COUNTIF(H$11:H49,H49)-1),(RANK(H49,H$11:H$333)+COUNTIF(H$11:H49,H49)-1)))</f>
        <v>43</v>
      </c>
      <c r="J49" s="40"/>
      <c r="K49" s="35">
        <f t="shared" si="10"/>
        <v>39</v>
      </c>
      <c r="L49" t="str">
        <f t="shared" si="2"/>
        <v>Portsmouth</v>
      </c>
      <c r="M49" s="109">
        <f t="shared" si="3"/>
        <v>21</v>
      </c>
      <c r="N49" s="104">
        <f t="shared" si="19"/>
        <v>21</v>
      </c>
      <c r="O49" s="89" t="str">
        <f t="shared" si="20"/>
        <v/>
      </c>
      <c r="P49" s="89" t="str">
        <f t="shared" si="21"/>
        <v/>
      </c>
      <c r="Q49" s="89">
        <f t="shared" si="22"/>
        <v>21</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22</v>
      </c>
      <c r="AH49" s="46">
        <f t="shared" si="28"/>
        <v>39</v>
      </c>
      <c r="AI49" s="5" t="str">
        <f>IF(L49="","",VLOOKUP($L49,classifications!$C:$J,8,FALSE))</f>
        <v>Unitary</v>
      </c>
      <c r="AJ49" s="42">
        <f t="shared" si="29"/>
        <v>21</v>
      </c>
      <c r="AK49" s="39">
        <f>IF(AJ49="","",IF(I$8="A",(RANK(AJ49,AJ$11:AJ$333,1)+COUNTIF(AJ$11:AJ49,AJ49)-1),(RANK(AJ49,AJ$11:AJ$333)+COUNTIF(AJ$11:AJ49,AJ49)-1)))</f>
        <v>39</v>
      </c>
      <c r="AL49" s="3">
        <f t="shared" si="16"/>
        <v>39</v>
      </c>
      <c r="AM49" t="str">
        <f t="shared" si="6"/>
        <v>Portsmouth</v>
      </c>
      <c r="AN49">
        <f t="shared" si="7"/>
        <v>21</v>
      </c>
      <c r="AP49" s="5" t="str">
        <f>IF(L49="","",VLOOKUP($L49,classifications!$C:$E,3,FALSE))</f>
        <v>South East</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23</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9</v>
      </c>
      <c r="G50" s="15"/>
      <c r="H50" s="41" t="str">
        <f t="shared" si="1"/>
        <v/>
      </c>
      <c r="I50" s="73" t="str">
        <f>IF(H50="","",IF($I$8="A",(RANK(H50,H$11:H$333,1)+COUNTIF(H$11:H50,H50)-1),(RANK(H50,H$11:H$333)+COUNTIF(H$11:H50,H50)-1)))</f>
        <v/>
      </c>
      <c r="J50" s="40"/>
      <c r="K50" s="35">
        <f t="shared" si="10"/>
        <v>40</v>
      </c>
      <c r="L50" t="str">
        <f t="shared" si="2"/>
        <v>Cheshire West &amp; Chester</v>
      </c>
      <c r="M50" s="109">
        <f t="shared" si="3"/>
        <v>22</v>
      </c>
      <c r="N50" s="104">
        <f t="shared" si="19"/>
        <v>22</v>
      </c>
      <c r="O50" s="89" t="str">
        <f t="shared" si="20"/>
        <v/>
      </c>
      <c r="P50" s="89" t="str">
        <f t="shared" si="21"/>
        <v/>
      </c>
      <c r="Q50" s="89">
        <f t="shared" si="22"/>
        <v>22</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Urban with Significant Rural</v>
      </c>
      <c r="Y50">
        <f t="shared" si="26"/>
        <v>22</v>
      </c>
      <c r="Z50" s="39">
        <f>IF(Y50="","",IF(I$8="A",(RANK(Y50,Y$11:Y$333,1)+COUNTIF(Y$11:Y50,Y50)-1),(RANK(Y50,Y$11:Y$333)+COUNTIF(Y$11:Y50,Y50)-1)))</f>
        <v>12</v>
      </c>
      <c r="AA50" s="177" t="str">
        <f>IF(L50="","",VLOOKUP($L50,classifications!C:I,7,FALSE))</f>
        <v>Urban with Significant Rural</v>
      </c>
      <c r="AB50" s="173">
        <f t="shared" si="27"/>
        <v>22</v>
      </c>
      <c r="AC50" s="173">
        <f>IF(AB50="","",IF($I$8="A",(RANK(AB50,AB$11:AB$333)+COUNTIF(AB$11:AB50,AB50)-1),(RANK(AB50,AB$11:AB$333,1)+COUNTIF(AB$11:AB50,AB50)-1)))</f>
        <v>5</v>
      </c>
      <c r="AD50" s="173"/>
      <c r="AE50" s="45">
        <f>IF(I$8="A",(RANK(AG50,AG$11:AG$333,1)+COUNTIF(AG$11:AG50,AG50)-1),(RANK(AG50,AG$11:AG$333)+COUNTIF(AG$11:AG50,AG50)-1))</f>
        <v>40</v>
      </c>
      <c r="AF50" t="str">
        <f>VLOOKUP(Profile!$J$5,Families!$C:$R,2,FALSE)</f>
        <v>Cheshire West &amp; Chester</v>
      </c>
      <c r="AG50" s="15">
        <f t="shared" si="15"/>
        <v>22</v>
      </c>
      <c r="AH50" s="46">
        <f t="shared" si="28"/>
        <v>40</v>
      </c>
      <c r="AI50" s="5" t="str">
        <f>IF(L50="","",VLOOKUP($L50,classifications!$C:$J,8,FALSE))</f>
        <v>Unitary</v>
      </c>
      <c r="AJ50" s="42">
        <f t="shared" si="29"/>
        <v>22</v>
      </c>
      <c r="AK50" s="39">
        <f>IF(AJ50="","",IF(I$8="A",(RANK(AJ50,AJ$11:AJ$333,1)+COUNTIF(AJ$11:AJ50,AJ50)-1),(RANK(AJ50,AJ$11:AJ$333)+COUNTIF(AJ$11:AJ50,AJ50)-1)))</f>
        <v>40</v>
      </c>
      <c r="AL50" s="3">
        <f t="shared" si="16"/>
        <v>40</v>
      </c>
      <c r="AM50" t="str">
        <f t="shared" si="6"/>
        <v>Cheshire West &amp; Chester</v>
      </c>
      <c r="AN50">
        <f t="shared" si="7"/>
        <v>22</v>
      </c>
      <c r="AP50" s="5" t="str">
        <f>IF(L50="","",VLOOKUP($L50,classifications!$C:$E,3,FALSE))</f>
        <v>North West</v>
      </c>
      <c r="AQ50" s="42">
        <f t="shared" si="30"/>
        <v>22</v>
      </c>
      <c r="AR50" s="39">
        <f>IF(AQ50="","",IF(I$8="A",(RANK(AQ50,AQ$11:AQ$333,1)+COUNTIF(AQ$11:AQ50,AQ50)-1),(RANK(AQ50,AQ$11:AQ$333)+COUNTIF(AQ$11:AQ50,AQ50)-1)))</f>
        <v>5</v>
      </c>
      <c r="AS50" s="3" t="str">
        <f t="shared" si="18"/>
        <v/>
      </c>
      <c r="AT50" s="39" t="str">
        <f t="shared" si="8"/>
        <v/>
      </c>
      <c r="AU50" s="42" t="str">
        <f t="shared" si="9"/>
        <v/>
      </c>
      <c r="AX50">
        <f>HLOOKUP($AX$9&amp;$AX$10,Data!$A$1:$ZT$1975,(MATCH($C50,Data!$A$1:$A$1975,0)),FALSE)</f>
        <v>9</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34</v>
      </c>
      <c r="G51" s="15"/>
      <c r="H51" s="41" t="str">
        <f t="shared" si="1"/>
        <v/>
      </c>
      <c r="I51" s="73" t="str">
        <f>IF(H51="","",IF($I$8="A",(RANK(H51,H$11:H$333,1)+COUNTIF(H$11:H51,H51)-1),(RANK(H51,H$11:H$333)+COUNTIF(H$11:H51,H51)-1)))</f>
        <v/>
      </c>
      <c r="J51" s="40"/>
      <c r="K51" s="35">
        <f t="shared" si="10"/>
        <v>41</v>
      </c>
      <c r="L51" t="str">
        <f t="shared" si="2"/>
        <v>East Riding of Yorkshire</v>
      </c>
      <c r="M51" s="109">
        <f t="shared" si="3"/>
        <v>22</v>
      </c>
      <c r="N51" s="104">
        <f t="shared" si="19"/>
        <v>22</v>
      </c>
      <c r="O51" s="89" t="str">
        <f t="shared" si="20"/>
        <v/>
      </c>
      <c r="P51" s="89" t="str">
        <f t="shared" si="21"/>
        <v/>
      </c>
      <c r="Q51" s="89">
        <f t="shared" si="22"/>
        <v>22</v>
      </c>
      <c r="R51" s="85" t="str">
        <f t="shared" si="23"/>
        <v/>
      </c>
      <c r="S51" s="41" t="str">
        <f t="shared" si="24"/>
        <v/>
      </c>
      <c r="T51" s="166" t="str">
        <f>IF(L51="","",VLOOKUP(L51,classifications!C:K,9,FALSE))</f>
        <v>Sparse</v>
      </c>
      <c r="U51" s="167">
        <f t="shared" si="25"/>
        <v>22</v>
      </c>
      <c r="V51" s="173">
        <f>IF(U51="","",IF($I$8="A",(RANK(U51,U$11:U$333)+COUNTIF(U$11:U51,U51)-1),(RANK(U51,U$11:U$333,1)+COUNTIF(U$11:U51,U51)-1)))</f>
        <v>6</v>
      </c>
      <c r="W51" s="174"/>
      <c r="X51" s="5" t="str">
        <f>IF(L51="","",VLOOKUP($L51,classifications!$C:$J,6,FALSE))</f>
        <v xml:space="preserve">Predominantly Rural </v>
      </c>
      <c r="Y51">
        <f t="shared" si="26"/>
        <v>22</v>
      </c>
      <c r="Z51" s="39">
        <f>IF(Y51="","",IF(I$8="A",(RANK(Y51,Y$11:Y$333,1)+COUNTIF(Y$11:Y51,Y51)-1),(RANK(Y51,Y$11:Y$333)+COUNTIF(Y$11:Y51,Y51)-1)))</f>
        <v>13</v>
      </c>
      <c r="AA51" s="177" t="str">
        <f>IF(L51="","",VLOOKUP($L51,classifications!C:I,7,FALSE))</f>
        <v>Predominantly Rural</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22</v>
      </c>
      <c r="AH51" s="46">
        <f t="shared" si="28"/>
        <v>41</v>
      </c>
      <c r="AI51" s="5" t="str">
        <f>IF(L51="","",VLOOKUP($L51,classifications!$C:$J,8,FALSE))</f>
        <v>Unitary</v>
      </c>
      <c r="AJ51" s="42">
        <f t="shared" si="29"/>
        <v>22</v>
      </c>
      <c r="AK51" s="39">
        <f>IF(AJ51="","",IF(I$8="A",(RANK(AJ51,AJ$11:AJ$333,1)+COUNTIF(AJ$11:AJ51,AJ51)-1),(RANK(AJ51,AJ$11:AJ$333)+COUNTIF(AJ$11:AJ51,AJ51)-1)))</f>
        <v>41</v>
      </c>
      <c r="AL51" s="3">
        <f t="shared" si="16"/>
        <v>41</v>
      </c>
      <c r="AM51" t="str">
        <f t="shared" si="6"/>
        <v>East Riding of Yorkshire</v>
      </c>
      <c r="AN51">
        <f t="shared" si="7"/>
        <v>22</v>
      </c>
      <c r="AP51" s="5" t="str">
        <f>IF(L51="","",VLOOKUP($L51,classifications!$C:$E,3,FALSE))</f>
        <v>Yorkshire &amp; Humberside</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34</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17</v>
      </c>
      <c r="G52" s="15"/>
      <c r="H52" s="41" t="str">
        <f t="shared" si="1"/>
        <v/>
      </c>
      <c r="I52" s="73" t="str">
        <f>IF(H52="","",IF($I$8="A",(RANK(H52,H$11:H$333,1)+COUNTIF(H$11:H52,H52)-1),(RANK(H52,H$11:H$333)+COUNTIF(H$11:H52,H52)-1)))</f>
        <v/>
      </c>
      <c r="J52" s="40"/>
      <c r="K52" s="35">
        <f t="shared" si="10"/>
        <v>42</v>
      </c>
      <c r="L52" t="str">
        <f t="shared" si="2"/>
        <v>West Berkshire</v>
      </c>
      <c r="M52" s="109">
        <f t="shared" si="3"/>
        <v>22</v>
      </c>
      <c r="N52" s="104">
        <f t="shared" si="19"/>
        <v>22</v>
      </c>
      <c r="O52" s="89" t="str">
        <f t="shared" si="20"/>
        <v/>
      </c>
      <c r="P52" s="89" t="str">
        <f t="shared" si="21"/>
        <v/>
      </c>
      <c r="Q52" s="89">
        <f t="shared" si="22"/>
        <v>22</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Urban with Significant Rural</v>
      </c>
      <c r="Y52">
        <f t="shared" si="26"/>
        <v>22</v>
      </c>
      <c r="Z52" s="39">
        <f>IF(Y52="","",IF(I$8="A",(RANK(Y52,Y$11:Y$333,1)+COUNTIF(Y$11:Y52,Y52)-1),(RANK(Y52,Y$11:Y$333)+COUNTIF(Y$11:Y52,Y52)-1)))</f>
        <v>14</v>
      </c>
      <c r="AA52" s="177" t="str">
        <f>IF(L52="","",VLOOKUP($L52,classifications!C:I,7,FALSE))</f>
        <v>Urban with Significant Rural</v>
      </c>
      <c r="AB52" s="173">
        <f t="shared" si="27"/>
        <v>22</v>
      </c>
      <c r="AC52" s="173">
        <f>IF(AB52="","",IF($I$8="A",(RANK(AB52,AB$11:AB$333)+COUNTIF(AB$11:AB52,AB52)-1),(RANK(AB52,AB$11:AB$333,1)+COUNTIF(AB$11:AB52,AB52)-1)))</f>
        <v>6</v>
      </c>
      <c r="AD52" s="173"/>
      <c r="AE52" s="45">
        <f>IF(I$8="A",(RANK(AG52,AG$11:AG$333,1)+COUNTIF(AG$11:AG52,AG52)-1),(RANK(AG52,AG$11:AG$333)+COUNTIF(AG$11:AG52,AG52)-1))</f>
        <v>42</v>
      </c>
      <c r="AF52" t="str">
        <f>VLOOKUP(Profile!$J$5,Families!$C:$R,2,FALSE)</f>
        <v>Cheshire West &amp; Chester</v>
      </c>
      <c r="AG52" s="15">
        <f t="shared" si="15"/>
        <v>22</v>
      </c>
      <c r="AH52" s="46">
        <f t="shared" si="28"/>
        <v>42</v>
      </c>
      <c r="AI52" s="5" t="str">
        <f>IF(L52="","",VLOOKUP($L52,classifications!$C:$J,8,FALSE))</f>
        <v>Unitary</v>
      </c>
      <c r="AJ52" s="42">
        <f t="shared" si="29"/>
        <v>22</v>
      </c>
      <c r="AK52" s="39">
        <f>IF(AJ52="","",IF(I$8="A",(RANK(AJ52,AJ$11:AJ$333,1)+COUNTIF(AJ$11:AJ52,AJ52)-1),(RANK(AJ52,AJ$11:AJ$333)+COUNTIF(AJ$11:AJ52,AJ52)-1)))</f>
        <v>42</v>
      </c>
      <c r="AL52" s="3">
        <f t="shared" si="16"/>
        <v>42</v>
      </c>
      <c r="AM52" t="str">
        <f t="shared" si="6"/>
        <v>West Berkshire</v>
      </c>
      <c r="AN52">
        <f t="shared" si="7"/>
        <v>22</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17</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9</v>
      </c>
      <c r="G53" s="15"/>
      <c r="H53" s="41" t="str">
        <f t="shared" si="1"/>
        <v/>
      </c>
      <c r="I53" s="73" t="str">
        <f>IF(H53="","",IF($I$8="A",(RANK(H53,H$11:H$333,1)+COUNTIF(H$11:H53,H53)-1),(RANK(H53,H$11:H$333)+COUNTIF(H$11:H53,H53)-1)))</f>
        <v/>
      </c>
      <c r="J53" s="40"/>
      <c r="K53" s="35">
        <f t="shared" si="10"/>
        <v>43</v>
      </c>
      <c r="L53" t="str">
        <f t="shared" si="2"/>
        <v>Buckinghamshire</v>
      </c>
      <c r="M53" s="109">
        <f t="shared" si="3"/>
        <v>23</v>
      </c>
      <c r="N53" s="104">
        <f t="shared" si="19"/>
        <v>23</v>
      </c>
      <c r="O53" s="89" t="str">
        <f t="shared" si="20"/>
        <v/>
      </c>
      <c r="P53" s="89" t="str">
        <f t="shared" si="21"/>
        <v/>
      </c>
      <c r="Q53" s="89">
        <f t="shared" si="22"/>
        <v>23</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Urban with Significant Rural</v>
      </c>
      <c r="Y53">
        <f t="shared" si="26"/>
        <v>23</v>
      </c>
      <c r="Z53" s="39">
        <f>IF(Y53="","",IF(I$8="A",(RANK(Y53,Y$11:Y$333,1)+COUNTIF(Y$11:Y53,Y53)-1),(RANK(Y53,Y$11:Y$333)+COUNTIF(Y$11:Y53,Y53)-1)))</f>
        <v>15</v>
      </c>
      <c r="AA53" s="177" t="str">
        <f>IF(L53="","",VLOOKUP($L53,classifications!C:I,7,FALSE))</f>
        <v>Urban with Significant Rural</v>
      </c>
      <c r="AB53" s="173">
        <f t="shared" si="27"/>
        <v>23</v>
      </c>
      <c r="AC53" s="173">
        <f>IF(AB53="","",IF($I$8="A",(RANK(AB53,AB$11:AB$333)+COUNTIF(AB$11:AB53,AB53)-1),(RANK(AB53,AB$11:AB$333,1)+COUNTIF(AB$11:AB53,AB53)-1)))</f>
        <v>4</v>
      </c>
      <c r="AD53" s="173"/>
      <c r="AE53" s="45">
        <f>IF(I$8="A",(RANK(AG53,AG$11:AG$333,1)+COUNTIF(AG$11:AG53,AG53)-1),(RANK(AG53,AG$11:AG$333)+COUNTIF(AG$11:AG53,AG53)-1))</f>
        <v>43</v>
      </c>
      <c r="AF53" t="str">
        <f>VLOOKUP(Profile!$J$5,Families!$C:$R,2,FALSE)</f>
        <v>Cheshire West &amp; Chester</v>
      </c>
      <c r="AG53" s="15">
        <f t="shared" si="15"/>
        <v>22</v>
      </c>
      <c r="AH53" s="46">
        <f t="shared" si="28"/>
        <v>43</v>
      </c>
      <c r="AI53" s="5" t="str">
        <f>IF(L53="","",VLOOKUP($L53,classifications!$C:$J,8,FALSE))</f>
        <v>Unitary</v>
      </c>
      <c r="AJ53" s="42">
        <f t="shared" si="29"/>
        <v>23</v>
      </c>
      <c r="AK53" s="39">
        <f>IF(AJ53="","",IF(I$8="A",(RANK(AJ53,AJ$11:AJ$333,1)+COUNTIF(AJ$11:AJ53,AJ53)-1),(RANK(AJ53,AJ$11:AJ$333)+COUNTIF(AJ$11:AJ53,AJ53)-1)))</f>
        <v>43</v>
      </c>
      <c r="AL53" s="3">
        <f t="shared" si="16"/>
        <v>43</v>
      </c>
      <c r="AM53" t="str">
        <f t="shared" si="6"/>
        <v>Buckinghamshire</v>
      </c>
      <c r="AN53">
        <f t="shared" si="7"/>
        <v>23</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Plymouth</v>
      </c>
      <c r="M54" s="109">
        <f t="shared" si="3"/>
        <v>23</v>
      </c>
      <c r="N54" s="104">
        <f t="shared" si="19"/>
        <v>23</v>
      </c>
      <c r="O54" s="89" t="str">
        <f t="shared" si="20"/>
        <v/>
      </c>
      <c r="P54" s="89" t="str">
        <f t="shared" si="21"/>
        <v/>
      </c>
      <c r="Q54" s="89">
        <f t="shared" si="22"/>
        <v>23</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22</v>
      </c>
      <c r="AH54" s="46">
        <f t="shared" si="28"/>
        <v>44</v>
      </c>
      <c r="AI54" s="5" t="str">
        <f>IF(L54="","",VLOOKUP($L54,classifications!$C:$J,8,FALSE))</f>
        <v>Unitary</v>
      </c>
      <c r="AJ54" s="42">
        <f t="shared" si="29"/>
        <v>23</v>
      </c>
      <c r="AK54" s="39">
        <f>IF(AJ54="","",IF(I$8="A",(RANK(AJ54,AJ$11:AJ$333,1)+COUNTIF(AJ$11:AJ54,AJ54)-1),(RANK(AJ54,AJ$11:AJ$333)+COUNTIF(AJ$11:AJ54,AJ54)-1)))</f>
        <v>44</v>
      </c>
      <c r="AL54" s="3">
        <f t="shared" si="16"/>
        <v>44</v>
      </c>
      <c r="AM54" t="str">
        <f t="shared" si="6"/>
        <v>Plymouth</v>
      </c>
      <c r="AN54">
        <f t="shared" si="7"/>
        <v>23</v>
      </c>
      <c r="AP54" s="5" t="str">
        <f>IF(L54="","",VLOOKUP($L54,classifications!$C:$E,3,FALSE))</f>
        <v>South West</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27</v>
      </c>
      <c r="G55" s="15"/>
      <c r="H55" s="41" t="str">
        <f t="shared" si="1"/>
        <v/>
      </c>
      <c r="I55" s="73" t="str">
        <f>IF(H55="","",IF($I$8="A",(RANK(H55,H$11:H$333,1)+COUNTIF(H$11:H55,H55)-1),(RANK(H55,H$11:H$333)+COUNTIF(H$11:H55,H55)-1)))</f>
        <v/>
      </c>
      <c r="J55" s="40"/>
      <c r="K55" s="35">
        <f t="shared" si="10"/>
        <v>45</v>
      </c>
      <c r="L55" t="str">
        <f t="shared" si="2"/>
        <v>Bath &amp; North East Somerset</v>
      </c>
      <c r="M55" s="109">
        <f t="shared" si="3"/>
        <v>24</v>
      </c>
      <c r="N55" s="104">
        <f t="shared" si="19"/>
        <v>24</v>
      </c>
      <c r="O55" s="89" t="str">
        <f t="shared" si="20"/>
        <v/>
      </c>
      <c r="P55" s="89" t="str">
        <f t="shared" si="21"/>
        <v/>
      </c>
      <c r="Q55" s="89">
        <f t="shared" si="22"/>
        <v>24</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Urban with Significant Rural</v>
      </c>
      <c r="Y55">
        <f t="shared" si="26"/>
        <v>24</v>
      </c>
      <c r="Z55" s="39">
        <f>IF(Y55="","",IF(I$8="A",(RANK(Y55,Y$11:Y$333,1)+COUNTIF(Y$11:Y55,Y55)-1),(RANK(Y55,Y$11:Y$333)+COUNTIF(Y$11:Y55,Y55)-1)))</f>
        <v>16</v>
      </c>
      <c r="AA55" s="177" t="str">
        <f>IF(L55="","",VLOOKUP($L55,classifications!C:I,7,FALSE))</f>
        <v>Urban with Significant Rural</v>
      </c>
      <c r="AB55" s="173">
        <f t="shared" si="27"/>
        <v>24</v>
      </c>
      <c r="AC55" s="173">
        <f>IF(AB55="","",IF($I$8="A",(RANK(AB55,AB$11:AB$333)+COUNTIF(AB$11:AB55,AB55)-1),(RANK(AB55,AB$11:AB$333,1)+COUNTIF(AB$11:AB55,AB55)-1)))</f>
        <v>3</v>
      </c>
      <c r="AD55" s="173"/>
      <c r="AE55" s="45">
        <f>IF(I$8="A",(RANK(AG55,AG$11:AG$333,1)+COUNTIF(AG$11:AG55,AG55)-1),(RANK(AG55,AG$11:AG$333)+COUNTIF(AG$11:AG55,AG55)-1))</f>
        <v>45</v>
      </c>
      <c r="AF55" t="str">
        <f>VLOOKUP(Profile!$J$5,Families!$C:$R,2,FALSE)</f>
        <v>Cheshire West &amp; Chester</v>
      </c>
      <c r="AG55" s="15">
        <f t="shared" si="15"/>
        <v>22</v>
      </c>
      <c r="AH55" s="46">
        <f t="shared" si="28"/>
        <v>45</v>
      </c>
      <c r="AI55" s="5" t="str">
        <f>IF(L55="","",VLOOKUP($L55,classifications!$C:$J,8,FALSE))</f>
        <v>Unitary</v>
      </c>
      <c r="AJ55" s="42">
        <f t="shared" si="29"/>
        <v>24</v>
      </c>
      <c r="AK55" s="39">
        <f>IF(AJ55="","",IF(I$8="A",(RANK(AJ55,AJ$11:AJ$333,1)+COUNTIF(AJ$11:AJ55,AJ55)-1),(RANK(AJ55,AJ$11:AJ$333)+COUNTIF(AJ$11:AJ55,AJ55)-1)))</f>
        <v>45</v>
      </c>
      <c r="AL55" s="3">
        <f t="shared" si="16"/>
        <v>45</v>
      </c>
      <c r="AM55" t="str">
        <f t="shared" si="6"/>
        <v>Bath &amp; North East Somerset</v>
      </c>
      <c r="AN55">
        <f t="shared" si="7"/>
        <v>24</v>
      </c>
      <c r="AP55" s="5" t="str">
        <f>IF(L55="","",VLOOKUP($L55,classifications!$C:$E,3,FALSE))</f>
        <v>South West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27</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20</v>
      </c>
      <c r="G56" s="15"/>
      <c r="H56" s="41" t="str">
        <f t="shared" si="1"/>
        <v/>
      </c>
      <c r="I56" s="73" t="str">
        <f>IF(H56="","",IF($I$8="A",(RANK(H56,H$11:H$333,1)+COUNTIF(H$11:H56,H56)-1),(RANK(H56,H$11:H$333)+COUNTIF(H$11:H56,H56)-1)))</f>
        <v/>
      </c>
      <c r="J56" s="40"/>
      <c r="K56" s="35">
        <f t="shared" si="10"/>
        <v>46</v>
      </c>
      <c r="L56" t="str">
        <f t="shared" si="2"/>
        <v>Southampton</v>
      </c>
      <c r="M56" s="109">
        <f t="shared" si="3"/>
        <v>24</v>
      </c>
      <c r="N56" s="104">
        <f t="shared" si="19"/>
        <v>24</v>
      </c>
      <c r="O56" s="89" t="str">
        <f t="shared" si="20"/>
        <v/>
      </c>
      <c r="P56" s="89" t="str">
        <f t="shared" si="21"/>
        <v/>
      </c>
      <c r="Q56" s="89">
        <f t="shared" si="22"/>
        <v>24</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22</v>
      </c>
      <c r="AH56" s="46">
        <f t="shared" si="28"/>
        <v>46</v>
      </c>
      <c r="AI56" s="5" t="str">
        <f>IF(L56="","",VLOOKUP($L56,classifications!$C:$J,8,FALSE))</f>
        <v>Unitary</v>
      </c>
      <c r="AJ56" s="42">
        <f t="shared" si="29"/>
        <v>24</v>
      </c>
      <c r="AK56" s="39">
        <f>IF(AJ56="","",IF(I$8="A",(RANK(AJ56,AJ$11:AJ$333,1)+COUNTIF(AJ$11:AJ56,AJ56)-1),(RANK(AJ56,AJ$11:AJ$333)+COUNTIF(AJ$11:AJ56,AJ56)-1)))</f>
        <v>46</v>
      </c>
      <c r="AL56" s="3">
        <f t="shared" si="16"/>
        <v>46</v>
      </c>
      <c r="AM56" t="str">
        <f t="shared" si="6"/>
        <v>Southampton</v>
      </c>
      <c r="AN56">
        <f t="shared" si="7"/>
        <v>24</v>
      </c>
      <c r="AP56" s="5" t="str">
        <f>IF(L56="","",VLOOKUP($L56,classifications!$C:$E,3,FALSE))</f>
        <v>South East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20</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25</v>
      </c>
      <c r="G57" s="15"/>
      <c r="H57" s="41" t="str">
        <f t="shared" si="1"/>
        <v/>
      </c>
      <c r="I57" s="73" t="str">
        <f>IF(H57="","",IF($I$8="A",(RANK(H57,H$11:H$333,1)+COUNTIF(H$11:H57,H57)-1),(RANK(H57,H$11:H$333)+COUNTIF(H$11:H57,H57)-1)))</f>
        <v/>
      </c>
      <c r="J57" s="40"/>
      <c r="K57" s="35">
        <f t="shared" si="10"/>
        <v>47</v>
      </c>
      <c r="L57" t="str">
        <f t="shared" si="2"/>
        <v>Cumberland</v>
      </c>
      <c r="M57" s="109">
        <f t="shared" si="3"/>
        <v>25</v>
      </c>
      <c r="N57" s="104">
        <f t="shared" si="19"/>
        <v>25</v>
      </c>
      <c r="O57" s="89" t="str">
        <f t="shared" si="20"/>
        <v/>
      </c>
      <c r="P57" s="89" t="str">
        <f t="shared" si="21"/>
        <v/>
      </c>
      <c r="Q57" s="89" t="str">
        <f t="shared" si="22"/>
        <v/>
      </c>
      <c r="R57" s="85">
        <f t="shared" si="23"/>
        <v>25</v>
      </c>
      <c r="S57" s="41" t="str">
        <f t="shared" si="24"/>
        <v/>
      </c>
      <c r="T57" s="166" t="str">
        <f>IF(L57="","",VLOOKUP(L57,classifications!C:K,9,FALSE))</f>
        <v>Sparse</v>
      </c>
      <c r="U57" s="167">
        <f t="shared" si="25"/>
        <v>25</v>
      </c>
      <c r="V57" s="173">
        <f>IF(U57="","",IF($I$8="A",(RANK(U57,U$11:U$333)+COUNTIF(U$11:U57,U57)-1),(RANK(U57,U$11:U$333,1)+COUNTIF(U$11:U57,U57)-1)))</f>
        <v>4</v>
      </c>
      <c r="W57" s="174"/>
      <c r="X57" s="5" t="str">
        <f>IF(L57="","",VLOOKUP($L57,classifications!$C:$J,6,FALSE))</f>
        <v xml:space="preserve">Predominantly Rural </v>
      </c>
      <c r="Y57">
        <f t="shared" si="26"/>
        <v>25</v>
      </c>
      <c r="Z57" s="39">
        <f>IF(Y57="","",IF(I$8="A",(RANK(Y57,Y$11:Y$333,1)+COUNTIF(Y$11:Y57,Y57)-1),(RANK(Y57,Y$11:Y$333)+COUNTIF(Y$11:Y57,Y57)-1)))</f>
        <v>17</v>
      </c>
      <c r="AA57" s="177" t="str">
        <f>IF(L57="","",VLOOKUP($L57,classifications!C:I,7,FALSE))</f>
        <v>Predominantly Rural</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22</v>
      </c>
      <c r="AH57" s="46">
        <f t="shared" si="28"/>
        <v>47</v>
      </c>
      <c r="AI57" s="5" t="str">
        <f>IF(L57="","",VLOOKUP($L57,classifications!$C:$J,8,FALSE))</f>
        <v>Unitary</v>
      </c>
      <c r="AJ57" s="42">
        <f t="shared" si="29"/>
        <v>25</v>
      </c>
      <c r="AK57" s="39">
        <f>IF(AJ57="","",IF(I$8="A",(RANK(AJ57,AJ$11:AJ$333,1)+COUNTIF(AJ$11:AJ57,AJ57)-1),(RANK(AJ57,AJ$11:AJ$333)+COUNTIF(AJ$11:AJ57,AJ57)-1)))</f>
        <v>47</v>
      </c>
      <c r="AL57" s="3">
        <f t="shared" si="16"/>
        <v>47</v>
      </c>
      <c r="AM57" t="str">
        <f t="shared" si="6"/>
        <v>Cumberland</v>
      </c>
      <c r="AN57">
        <f t="shared" si="7"/>
        <v>25</v>
      </c>
      <c r="AP57" s="5" t="str">
        <f>IF(L57="","",VLOOKUP($L57,classifications!$C:$E,3,FALSE))</f>
        <v>North West</v>
      </c>
      <c r="AQ57" s="42">
        <f t="shared" si="30"/>
        <v>25</v>
      </c>
      <c r="AR57" s="39">
        <f>IF(AQ57="","",IF(I$8="A",(RANK(AQ57,AQ$11:AQ$333,1)+COUNTIF(AQ$11:AQ57,AQ57)-1),(RANK(AQ57,AQ$11:AQ$333)+COUNTIF(AQ$11:AQ57,AQ57)-1)))</f>
        <v>6</v>
      </c>
      <c r="AS57" s="3" t="str">
        <f t="shared" si="18"/>
        <v/>
      </c>
      <c r="AT57" s="39" t="str">
        <f t="shared" si="8"/>
        <v/>
      </c>
      <c r="AU57" s="42" t="str">
        <f t="shared" si="9"/>
        <v/>
      </c>
      <c r="AX57">
        <f>HLOOKUP($AX$9&amp;$AX$10,Data!$A$1:$ZT$1975,(MATCH($C57,Data!$A$1:$A$1975,0)),FALSE)</f>
        <v>25</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24</v>
      </c>
      <c r="G58" s="15"/>
      <c r="H58" s="41" t="str">
        <f t="shared" si="1"/>
        <v/>
      </c>
      <c r="I58" s="73" t="str">
        <f>IF(H58="","",IF($I$8="A",(RANK(H58,H$11:H$333,1)+COUNTIF(H$11:H58,H58)-1),(RANK(H58,H$11:H$333)+COUNTIF(H$11:H58,H58)-1)))</f>
        <v/>
      </c>
      <c r="J58" s="40"/>
      <c r="K58" s="35">
        <f t="shared" si="10"/>
        <v>48</v>
      </c>
      <c r="L58" t="str">
        <f t="shared" si="2"/>
        <v>Shropshire</v>
      </c>
      <c r="M58" s="109">
        <f t="shared" si="3"/>
        <v>25</v>
      </c>
      <c r="N58" s="104">
        <f t="shared" ref="N58:N121" si="31">IF(L58="","",IF($H$8="%%",M58*100,M58))</f>
        <v>25</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25</v>
      </c>
      <c r="S58" s="41" t="str">
        <f t="shared" ref="S58:S121" si="36">IF(L58=D$3,"u","")</f>
        <v/>
      </c>
      <c r="T58" s="166" t="str">
        <f>IF(L58="","",VLOOKUP(L58,classifications!C:K,9,FALSE))</f>
        <v>Sparse</v>
      </c>
      <c r="U58" s="167">
        <f t="shared" ref="U58:U121" si="37">IF(T58="Sparse",M58,"")</f>
        <v>25</v>
      </c>
      <c r="V58" s="173">
        <f>IF(U58="","",IF($I$8="A",(RANK(U58,U$11:U$333)+COUNTIF(U$11:U58,U58)-1),(RANK(U58,U$11:U$333,1)+COUNTIF(U$11:U58,U58)-1)))</f>
        <v>5</v>
      </c>
      <c r="W58" s="174"/>
      <c r="X58" s="5" t="str">
        <f>IF(L58="","",VLOOKUP($L58,classifications!$C:$J,6,FALSE))</f>
        <v xml:space="preserve">Predominantly Rural </v>
      </c>
      <c r="Y58">
        <f t="shared" ref="Y58:Y121" si="38">IF($D$1="UA",IF(X58="Predominantly Rural ",M58,IF(X58="Predominantly Rural ",M58,IF(X58="Urban with Significant Rural",M58,""))),IF($D$1="SD",IF(X58=$H$3,M58,"")))</f>
        <v>25</v>
      </c>
      <c r="Z58" s="39">
        <f>IF(Y58="","",IF(I$8="A",(RANK(Y58,Y$11:Y$333,1)+COUNTIF(Y$11:Y58,Y58)-1),(RANK(Y58,Y$11:Y$333)+COUNTIF(Y$11:Y58,Y58)-1)))</f>
        <v>18</v>
      </c>
      <c r="AA58" s="177" t="str">
        <f>IF(L58="","",VLOOKUP($L58,classifications!C:I,7,FALSE))</f>
        <v>Predominantly Rural</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22</v>
      </c>
      <c r="AH58" s="46">
        <f t="shared" ref="AH58:AH121" si="40">AE58</f>
        <v>48</v>
      </c>
      <c r="AI58" s="5" t="str">
        <f>IF(L58="","",VLOOKUP($L58,classifications!$C:$J,8,FALSE))</f>
        <v>Unitary</v>
      </c>
      <c r="AJ58" s="42">
        <f t="shared" ref="AJ58:AJ121" si="41">IF(AI58=$I$3,M58,"")</f>
        <v>25</v>
      </c>
      <c r="AK58" s="39">
        <f>IF(AJ58="","",IF(I$8="A",(RANK(AJ58,AJ$11:AJ$333,1)+COUNTIF(AJ$11:AJ58,AJ58)-1),(RANK(AJ58,AJ$11:AJ$333)+COUNTIF(AJ$11:AJ58,AJ58)-1)))</f>
        <v>48</v>
      </c>
      <c r="AL58" s="3">
        <f t="shared" si="16"/>
        <v>48</v>
      </c>
      <c r="AM58" t="str">
        <f t="shared" si="6"/>
        <v>Shropshire</v>
      </c>
      <c r="AN58">
        <f t="shared" si="7"/>
        <v>25</v>
      </c>
      <c r="AP58" s="5" t="str">
        <f>IF(L58="","",VLOOKUP($L58,classifications!$C:$E,3,FALSE))</f>
        <v>West Midlands</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24</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27</v>
      </c>
      <c r="G59" s="15"/>
      <c r="H59" s="41">
        <f t="shared" si="1"/>
        <v>27</v>
      </c>
      <c r="I59" s="73">
        <f>IF(H59="","",IF($I$8="A",(RANK(H59,H$11:H$333,1)+COUNTIF(H$11:H59,H59)-1),(RANK(H59,H$11:H$333)+COUNTIF(H$11:H59,H59)-1)))</f>
        <v>54</v>
      </c>
      <c r="J59" s="40"/>
      <c r="K59" s="35">
        <f t="shared" si="10"/>
        <v>49</v>
      </c>
      <c r="L59" t="str">
        <f t="shared" si="2"/>
        <v>Slough</v>
      </c>
      <c r="M59" s="109">
        <f t="shared" si="3"/>
        <v>25</v>
      </c>
      <c r="N59" s="104">
        <f t="shared" si="31"/>
        <v>25</v>
      </c>
      <c r="O59" s="89" t="str">
        <f t="shared" si="32"/>
        <v/>
      </c>
      <c r="P59" s="89" t="str">
        <f t="shared" si="33"/>
        <v/>
      </c>
      <c r="Q59" s="89" t="str">
        <f t="shared" si="34"/>
        <v/>
      </c>
      <c r="R59" s="85">
        <f t="shared" si="35"/>
        <v>25</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22</v>
      </c>
      <c r="AH59" s="46">
        <f t="shared" si="40"/>
        <v>49</v>
      </c>
      <c r="AI59" s="5" t="str">
        <f>IF(L59="","",VLOOKUP($L59,classifications!$C:$J,8,FALSE))</f>
        <v>Unitary</v>
      </c>
      <c r="AJ59" s="42">
        <f t="shared" si="41"/>
        <v>25</v>
      </c>
      <c r="AK59" s="39">
        <f>IF(AJ59="","",IF(I$8="A",(RANK(AJ59,AJ$11:AJ$333,1)+COUNTIF(AJ$11:AJ59,AJ59)-1),(RANK(AJ59,AJ$11:AJ$333)+COUNTIF(AJ$11:AJ59,AJ59)-1)))</f>
        <v>49</v>
      </c>
      <c r="AL59" s="3">
        <f t="shared" si="16"/>
        <v>49</v>
      </c>
      <c r="AM59" t="str">
        <f t="shared" si="6"/>
        <v>Slough</v>
      </c>
      <c r="AN59">
        <f t="shared" si="7"/>
        <v>25</v>
      </c>
      <c r="AP59" s="5" t="str">
        <f>IF(L59="","",VLOOKUP($L59,classifications!$C:$E,3,FALSE))</f>
        <v>South East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27</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14</v>
      </c>
      <c r="G60" s="15"/>
      <c r="H60" s="41" t="str">
        <f t="shared" si="1"/>
        <v/>
      </c>
      <c r="I60" s="73" t="str">
        <f>IF(H60="","",IF($I$8="A",(RANK(H60,H$11:H$333,1)+COUNTIF(H$11:H60,H60)-1),(RANK(H60,H$11:H$333)+COUNTIF(H$11:H60,H60)-1)))</f>
        <v/>
      </c>
      <c r="J60" s="40"/>
      <c r="K60" s="35">
        <f t="shared" si="10"/>
        <v>50</v>
      </c>
      <c r="L60" t="str">
        <f t="shared" si="2"/>
        <v>Warrington</v>
      </c>
      <c r="M60" s="109">
        <f t="shared" si="3"/>
        <v>25</v>
      </c>
      <c r="N60" s="104">
        <f t="shared" si="31"/>
        <v>25</v>
      </c>
      <c r="O60" s="89" t="str">
        <f t="shared" si="32"/>
        <v/>
      </c>
      <c r="P60" s="89" t="str">
        <f t="shared" si="33"/>
        <v/>
      </c>
      <c r="Q60" s="89" t="str">
        <f t="shared" si="34"/>
        <v/>
      </c>
      <c r="R60" s="85">
        <f t="shared" si="35"/>
        <v>25</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22</v>
      </c>
      <c r="AH60" s="46">
        <f t="shared" si="40"/>
        <v>50</v>
      </c>
      <c r="AI60" s="5" t="str">
        <f>IF(L60="","",VLOOKUP($L60,classifications!$C:$J,8,FALSE))</f>
        <v>Unitary</v>
      </c>
      <c r="AJ60" s="42">
        <f t="shared" si="41"/>
        <v>25</v>
      </c>
      <c r="AK60" s="39">
        <f>IF(AJ60="","",IF(I$8="A",(RANK(AJ60,AJ$11:AJ$333,1)+COUNTIF(AJ$11:AJ60,AJ60)-1),(RANK(AJ60,AJ$11:AJ$333)+COUNTIF(AJ$11:AJ60,AJ60)-1)))</f>
        <v>50</v>
      </c>
      <c r="AL60" s="3">
        <f t="shared" si="16"/>
        <v>50</v>
      </c>
      <c r="AM60" t="str">
        <f t="shared" si="6"/>
        <v>Warrington</v>
      </c>
      <c r="AN60">
        <f t="shared" si="7"/>
        <v>25</v>
      </c>
      <c r="AP60" s="5" t="str">
        <f>IF(L60="","",VLOOKUP($L60,classifications!$C:$E,3,FALSE))</f>
        <v>North West</v>
      </c>
      <c r="AQ60" s="42">
        <f t="shared" si="42"/>
        <v>25</v>
      </c>
      <c r="AR60" s="39">
        <f>IF(AQ60="","",IF(I$8="A",(RANK(AQ60,AQ$11:AQ$333,1)+COUNTIF(AQ$11:AQ60,AQ60)-1),(RANK(AQ60,AQ$11:AQ$333)+COUNTIF(AQ$11:AQ60,AQ60)-1)))</f>
        <v>7</v>
      </c>
      <c r="AS60" s="3" t="str">
        <f t="shared" si="18"/>
        <v/>
      </c>
      <c r="AT60" s="39" t="str">
        <f t="shared" si="8"/>
        <v/>
      </c>
      <c r="AU60" s="42" t="str">
        <f t="shared" si="9"/>
        <v/>
      </c>
      <c r="AX60">
        <f>HLOOKUP($AX$9&amp;$AX$10,Data!$A$1:$ZT$1975,(MATCH($C60,Data!$A$1:$A$1975,0)),FALSE)</f>
        <v>14</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25</v>
      </c>
      <c r="G61" s="15"/>
      <c r="H61" s="41" t="str">
        <f t="shared" si="1"/>
        <v/>
      </c>
      <c r="I61" s="73" t="str">
        <f>IF(H61="","",IF($I$8="A",(RANK(H61,H$11:H$333,1)+COUNTIF(H$11:H61,H61)-1),(RANK(H61,H$11:H$333)+COUNTIF(H$11:H61,H61)-1)))</f>
        <v/>
      </c>
      <c r="J61" s="40"/>
      <c r="K61" s="35">
        <f t="shared" si="10"/>
        <v>51</v>
      </c>
      <c r="L61" t="str">
        <f t="shared" si="2"/>
        <v>Derby</v>
      </c>
      <c r="M61" s="109">
        <f t="shared" si="3"/>
        <v>26</v>
      </c>
      <c r="N61" s="104">
        <f t="shared" si="31"/>
        <v>26</v>
      </c>
      <c r="O61" s="89" t="str">
        <f t="shared" si="32"/>
        <v/>
      </c>
      <c r="P61" s="89" t="str">
        <f t="shared" si="33"/>
        <v/>
      </c>
      <c r="Q61" s="89" t="str">
        <f t="shared" si="34"/>
        <v/>
      </c>
      <c r="R61" s="85">
        <f t="shared" si="35"/>
        <v>26</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22</v>
      </c>
      <c r="AH61" s="46">
        <f t="shared" si="40"/>
        <v>51</v>
      </c>
      <c r="AI61" s="5" t="str">
        <f>IF(L61="","",VLOOKUP($L61,classifications!$C:$J,8,FALSE))</f>
        <v>Unitary</v>
      </c>
      <c r="AJ61" s="42">
        <f t="shared" si="41"/>
        <v>26</v>
      </c>
      <c r="AK61" s="39">
        <f>IF(AJ61="","",IF(I$8="A",(RANK(AJ61,AJ$11:AJ$333,1)+COUNTIF(AJ$11:AJ61,AJ61)-1),(RANK(AJ61,AJ$11:AJ$333)+COUNTIF(AJ$11:AJ61,AJ61)-1)))</f>
        <v>51</v>
      </c>
      <c r="AL61" s="3">
        <f t="shared" si="16"/>
        <v>51</v>
      </c>
      <c r="AM61" t="str">
        <f t="shared" si="6"/>
        <v>Derby</v>
      </c>
      <c r="AN61">
        <f t="shared" si="7"/>
        <v>26</v>
      </c>
      <c r="AP61" s="5" t="str">
        <f>IF(L61="","",VLOOKUP($L61,classifications!$C:$E,3,FALSE))</f>
        <v>East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25</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9</v>
      </c>
      <c r="G62" s="15"/>
      <c r="H62" s="41" t="str">
        <f t="shared" si="1"/>
        <v/>
      </c>
      <c r="I62" s="73" t="str">
        <f>IF(H62="","",IF($I$8="A",(RANK(H62,H$11:H$333,1)+COUNTIF(H$11:H62,H62)-1),(RANK(H62,H$11:H$333)+COUNTIF(H$11:H62,H62)-1)))</f>
        <v/>
      </c>
      <c r="J62" s="40"/>
      <c r="K62" s="35">
        <f t="shared" si="10"/>
        <v>52</v>
      </c>
      <c r="L62" t="str">
        <f t="shared" si="2"/>
        <v>Kingston upon Hull</v>
      </c>
      <c r="M62" s="109">
        <f t="shared" si="3"/>
        <v>26</v>
      </c>
      <c r="N62" s="104">
        <f t="shared" si="31"/>
        <v>26</v>
      </c>
      <c r="O62" s="89" t="str">
        <f t="shared" si="32"/>
        <v/>
      </c>
      <c r="P62" s="89" t="str">
        <f t="shared" si="33"/>
        <v/>
      </c>
      <c r="Q62" s="89" t="str">
        <f t="shared" si="34"/>
        <v/>
      </c>
      <c r="R62" s="85">
        <f t="shared" si="35"/>
        <v>26</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22</v>
      </c>
      <c r="AH62" s="46">
        <f t="shared" si="40"/>
        <v>52</v>
      </c>
      <c r="AI62" s="5" t="str">
        <f>IF(L62="","",VLOOKUP($L62,classifications!$C:$J,8,FALSE))</f>
        <v>Unitary</v>
      </c>
      <c r="AJ62" s="42">
        <f t="shared" si="41"/>
        <v>26</v>
      </c>
      <c r="AK62" s="39">
        <f>IF(AJ62="","",IF(I$8="A",(RANK(AJ62,AJ$11:AJ$333,1)+COUNTIF(AJ$11:AJ62,AJ62)-1),(RANK(AJ62,AJ$11:AJ$333)+COUNTIF(AJ$11:AJ62,AJ62)-1)))</f>
        <v>52</v>
      </c>
      <c r="AL62" s="3">
        <f t="shared" si="16"/>
        <v>52</v>
      </c>
      <c r="AM62" t="str">
        <f t="shared" si="6"/>
        <v>Kingston upon Hull</v>
      </c>
      <c r="AN62">
        <f t="shared" si="7"/>
        <v>26</v>
      </c>
      <c r="AP62" s="5" t="str">
        <f>IF(L62="","",VLOOKUP($L62,classifications!$C:$E,3,FALSE))</f>
        <v>Yorkshire &amp; Humberside</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9</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16</v>
      </c>
      <c r="G63" s="15"/>
      <c r="H63" s="41" t="str">
        <f t="shared" si="1"/>
        <v/>
      </c>
      <c r="I63" s="73" t="str">
        <f>IF(H63="","",IF($I$8="A",(RANK(H63,H$11:H$333,1)+COUNTIF(H$11:H63,H63)-1),(RANK(H63,H$11:H$333)+COUNTIF(H$11:H63,H63)-1)))</f>
        <v/>
      </c>
      <c r="J63" s="40"/>
      <c r="K63" s="35">
        <f t="shared" si="10"/>
        <v>53</v>
      </c>
      <c r="L63" t="str">
        <f t="shared" si="2"/>
        <v>North East Lincolnshire</v>
      </c>
      <c r="M63" s="109">
        <f t="shared" si="3"/>
        <v>26</v>
      </c>
      <c r="N63" s="104">
        <f t="shared" si="31"/>
        <v>26</v>
      </c>
      <c r="O63" s="89" t="str">
        <f t="shared" si="32"/>
        <v/>
      </c>
      <c r="P63" s="89" t="str">
        <f t="shared" si="33"/>
        <v/>
      </c>
      <c r="Q63" s="89" t="str">
        <f t="shared" si="34"/>
        <v/>
      </c>
      <c r="R63" s="85">
        <f t="shared" si="35"/>
        <v>26</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22</v>
      </c>
      <c r="AH63" s="46">
        <f t="shared" si="40"/>
        <v>53</v>
      </c>
      <c r="AI63" s="5" t="str">
        <f>IF(L63="","",VLOOKUP($L63,classifications!$C:$J,8,FALSE))</f>
        <v>Unitary</v>
      </c>
      <c r="AJ63" s="42">
        <f t="shared" si="41"/>
        <v>26</v>
      </c>
      <c r="AK63" s="39">
        <f>IF(AJ63="","",IF(I$8="A",(RANK(AJ63,AJ$11:AJ$333,1)+COUNTIF(AJ$11:AJ63,AJ63)-1),(RANK(AJ63,AJ$11:AJ$333)+COUNTIF(AJ$11:AJ63,AJ63)-1)))</f>
        <v>53</v>
      </c>
      <c r="AL63" s="3">
        <f t="shared" si="16"/>
        <v>53</v>
      </c>
      <c r="AM63" t="str">
        <f t="shared" si="6"/>
        <v>North East Lincolnshire</v>
      </c>
      <c r="AN63">
        <f t="shared" si="7"/>
        <v>26</v>
      </c>
      <c r="AP63" s="5" t="str">
        <f>IF(L63="","",VLOOKUP($L63,classifications!$C:$E,3,FALSE))</f>
        <v>Yorkshire &amp; Humberside</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16</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20</v>
      </c>
      <c r="G64" s="15"/>
      <c r="H64" s="41">
        <f t="shared" si="1"/>
        <v>20</v>
      </c>
      <c r="I64" s="73">
        <f>IF(H64="","",IF($I$8="A",(RANK(H64,H$11:H$333,1)+COUNTIF(H$11:H64,H64)-1),(RANK(H64,H$11:H$333)+COUNTIF(H$11:H64,H64)-1)))</f>
        <v>31</v>
      </c>
      <c r="J64" s="40"/>
      <c r="K64" s="35">
        <f t="shared" si="10"/>
        <v>54</v>
      </c>
      <c r="L64" t="str">
        <f t="shared" si="2"/>
        <v>Central Bedfordshire</v>
      </c>
      <c r="M64" s="109">
        <f t="shared" si="3"/>
        <v>27</v>
      </c>
      <c r="N64" s="104">
        <f t="shared" si="31"/>
        <v>27</v>
      </c>
      <c r="O64" s="89" t="str">
        <f t="shared" si="32"/>
        <v/>
      </c>
      <c r="P64" s="89" t="str">
        <f t="shared" si="33"/>
        <v/>
      </c>
      <c r="Q64" s="89" t="str">
        <f t="shared" si="34"/>
        <v/>
      </c>
      <c r="R64" s="85">
        <f t="shared" si="35"/>
        <v>27</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 xml:space="preserve">Predominantly Rural </v>
      </c>
      <c r="Y64">
        <f t="shared" si="38"/>
        <v>27</v>
      </c>
      <c r="Z64" s="39">
        <f>IF(Y64="","",IF(I$8="A",(RANK(Y64,Y$11:Y$333,1)+COUNTIF(Y$11:Y64,Y64)-1),(RANK(Y64,Y$11:Y$333)+COUNTIF(Y$11:Y64,Y64)-1)))</f>
        <v>19</v>
      </c>
      <c r="AA64" s="177" t="str">
        <f>IF(L64="","",VLOOKUP($L64,classifications!C:I,7,FALSE))</f>
        <v>Predominantly Rural</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22</v>
      </c>
      <c r="AH64" s="46">
        <f t="shared" si="40"/>
        <v>54</v>
      </c>
      <c r="AI64" s="5" t="str">
        <f>IF(L64="","",VLOOKUP($L64,classifications!$C:$J,8,FALSE))</f>
        <v>Unitary</v>
      </c>
      <c r="AJ64" s="42">
        <f t="shared" si="41"/>
        <v>27</v>
      </c>
      <c r="AK64" s="39">
        <f>IF(AJ64="","",IF(I$8="A",(RANK(AJ64,AJ$11:AJ$333,1)+COUNTIF(AJ$11:AJ64,AJ64)-1),(RANK(AJ64,AJ$11:AJ$333)+COUNTIF(AJ$11:AJ64,AJ64)-1)))</f>
        <v>54</v>
      </c>
      <c r="AL64" s="3">
        <f t="shared" si="16"/>
        <v>54</v>
      </c>
      <c r="AM64" t="str">
        <f t="shared" si="6"/>
        <v>Central Bedfordshire</v>
      </c>
      <c r="AN64">
        <f t="shared" si="7"/>
        <v>27</v>
      </c>
      <c r="AP64" s="5" t="str">
        <f>IF(L64="","",VLOOKUP($L64,classifications!$C:$E,3,FALSE))</f>
        <v>East of England</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20</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22</v>
      </c>
      <c r="G65" s="15"/>
      <c r="H65" s="41">
        <f t="shared" si="1"/>
        <v>22</v>
      </c>
      <c r="I65" s="73">
        <f>IF(H65="","",IF($I$8="A",(RANK(H65,H$11:H$333,1)+COUNTIF(H$11:H65,H65)-1),(RANK(H65,H$11:H$333)+COUNTIF(H$11:H65,H65)-1)))</f>
        <v>40</v>
      </c>
      <c r="J65" s="40"/>
      <c r="K65" s="35">
        <f t="shared" si="10"/>
        <v>55</v>
      </c>
      <c r="L65" t="str">
        <f t="shared" si="2"/>
        <v>Southend-on-Sea</v>
      </c>
      <c r="M65" s="109">
        <f t="shared" si="3"/>
        <v>27</v>
      </c>
      <c r="N65" s="104">
        <f t="shared" si="31"/>
        <v>27</v>
      </c>
      <c r="O65" s="89" t="str">
        <f t="shared" si="32"/>
        <v/>
      </c>
      <c r="P65" s="89" t="str">
        <f t="shared" si="33"/>
        <v/>
      </c>
      <c r="Q65" s="89" t="str">
        <f t="shared" si="34"/>
        <v/>
      </c>
      <c r="R65" s="85">
        <f t="shared" si="35"/>
        <v>27</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22</v>
      </c>
      <c r="AH65" s="46">
        <f t="shared" si="40"/>
        <v>55</v>
      </c>
      <c r="AI65" s="5" t="str">
        <f>IF(L65="","",VLOOKUP($L65,classifications!$C:$J,8,FALSE))</f>
        <v>Unitary</v>
      </c>
      <c r="AJ65" s="42">
        <f t="shared" si="41"/>
        <v>27</v>
      </c>
      <c r="AK65" s="39">
        <f>IF(AJ65="","",IF(I$8="A",(RANK(AJ65,AJ$11:AJ$333,1)+COUNTIF(AJ$11:AJ65,AJ65)-1),(RANK(AJ65,AJ$11:AJ$333)+COUNTIF(AJ$11:AJ65,AJ65)-1)))</f>
        <v>55</v>
      </c>
      <c r="AL65" s="3">
        <f t="shared" si="16"/>
        <v>55</v>
      </c>
      <c r="AM65" t="str">
        <f t="shared" si="6"/>
        <v>Southend-on-Sea</v>
      </c>
      <c r="AN65">
        <f t="shared" si="7"/>
        <v>27</v>
      </c>
      <c r="AP65" s="5" t="str">
        <f>IF(L65="","",VLOOKUP($L65,classifications!$C:$E,3,FALSE))</f>
        <v>East of England</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22</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20</v>
      </c>
      <c r="G66" s="15"/>
      <c r="H66" s="41" t="str">
        <f t="shared" si="1"/>
        <v/>
      </c>
      <c r="I66" s="73" t="str">
        <f>IF(H66="","",IF($I$8="A",(RANK(H66,H$11:H$333,1)+COUNTIF(H$11:H66,H66)-1),(RANK(H66,H$11:H$333)+COUNTIF(H$11:H66,H66)-1)))</f>
        <v/>
      </c>
      <c r="J66" s="40"/>
      <c r="K66" s="35">
        <f t="shared" si="10"/>
        <v>56</v>
      </c>
      <c r="L66" t="str">
        <f t="shared" si="2"/>
        <v>Hartlepool</v>
      </c>
      <c r="M66" s="109">
        <f t="shared" si="3"/>
        <v>28</v>
      </c>
      <c r="N66" s="104">
        <f t="shared" si="31"/>
        <v>28</v>
      </c>
      <c r="O66" s="89" t="str">
        <f t="shared" si="32"/>
        <v/>
      </c>
      <c r="P66" s="89" t="str">
        <f t="shared" si="33"/>
        <v/>
      </c>
      <c r="Q66" s="89" t="str">
        <f t="shared" si="34"/>
        <v/>
      </c>
      <c r="R66" s="85">
        <f t="shared" si="35"/>
        <v>28</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22</v>
      </c>
      <c r="AH66" s="46">
        <f t="shared" si="40"/>
        <v>56</v>
      </c>
      <c r="AI66" s="5" t="str">
        <f>IF(L66="","",VLOOKUP($L66,classifications!$C:$J,8,FALSE))</f>
        <v>Unitary</v>
      </c>
      <c r="AJ66" s="42">
        <f t="shared" si="41"/>
        <v>28</v>
      </c>
      <c r="AK66" s="39">
        <f>IF(AJ66="","",IF(I$8="A",(RANK(AJ66,AJ$11:AJ$333,1)+COUNTIF(AJ$11:AJ66,AJ66)-1),(RANK(AJ66,AJ$11:AJ$333)+COUNTIF(AJ$11:AJ66,AJ66)-1)))</f>
        <v>56</v>
      </c>
      <c r="AL66" s="3">
        <f t="shared" si="16"/>
        <v>56</v>
      </c>
      <c r="AM66" t="str">
        <f t="shared" si="6"/>
        <v>Hartlepool</v>
      </c>
      <c r="AN66">
        <f t="shared" si="7"/>
        <v>28</v>
      </c>
      <c r="AP66" s="5" t="str">
        <f>IF(L66="","",VLOOKUP($L66,classifications!$C:$E,3,FALSE))</f>
        <v>NE</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20</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13</v>
      </c>
      <c r="G67" s="15"/>
      <c r="H67" s="41" t="str">
        <f t="shared" si="1"/>
        <v/>
      </c>
      <c r="I67" s="73" t="str">
        <f>IF(H67="","",IF($I$8="A",(RANK(H67,H$11:H$333,1)+COUNTIF(H$11:H67,H67)-1),(RANK(H67,H$11:H$333)+COUNTIF(H$11:H67,H67)-1)))</f>
        <v/>
      </c>
      <c r="J67" s="40"/>
      <c r="K67" s="35">
        <f t="shared" si="10"/>
        <v>57</v>
      </c>
      <c r="L67" t="str">
        <f t="shared" si="2"/>
        <v>Medway</v>
      </c>
      <c r="M67" s="109">
        <f t="shared" si="3"/>
        <v>29</v>
      </c>
      <c r="N67" s="104">
        <f t="shared" si="31"/>
        <v>29</v>
      </c>
      <c r="O67" s="89" t="str">
        <f t="shared" si="32"/>
        <v/>
      </c>
      <c r="P67" s="89" t="str">
        <f t="shared" si="33"/>
        <v/>
      </c>
      <c r="Q67" s="89" t="str">
        <f t="shared" si="34"/>
        <v/>
      </c>
      <c r="R67" s="85">
        <f t="shared" si="35"/>
        <v>29</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22</v>
      </c>
      <c r="AH67" s="46">
        <f t="shared" si="40"/>
        <v>57</v>
      </c>
      <c r="AI67" s="5" t="str">
        <f>IF(L67="","",VLOOKUP($L67,classifications!$C:$J,8,FALSE))</f>
        <v>Unitary</v>
      </c>
      <c r="AJ67" s="42">
        <f t="shared" si="41"/>
        <v>29</v>
      </c>
      <c r="AK67" s="39">
        <f>IF(AJ67="","",IF(I$8="A",(RANK(AJ67,AJ$11:AJ$333,1)+COUNTIF(AJ$11:AJ67,AJ67)-1),(RANK(AJ67,AJ$11:AJ$333)+COUNTIF(AJ$11:AJ67,AJ67)-1)))</f>
        <v>57</v>
      </c>
      <c r="AL67" s="3">
        <f t="shared" si="16"/>
        <v>57</v>
      </c>
      <c r="AM67" t="str">
        <f t="shared" si="6"/>
        <v>Medway</v>
      </c>
      <c r="AN67">
        <f t="shared" si="7"/>
        <v>29</v>
      </c>
      <c r="AP67" s="5" t="str">
        <f>IF(L67="","",VLOOKUP($L67,classifications!$C:$E,3,FALSE))</f>
        <v>South East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13</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14</v>
      </c>
      <c r="G68" s="15"/>
      <c r="H68" s="41" t="str">
        <f t="shared" si="1"/>
        <v/>
      </c>
      <c r="I68" s="73" t="str">
        <f>IF(H68="","",IF($I$8="A",(RANK(H68,H$11:H$333,1)+COUNTIF(H$11:H68,H68)-1),(RANK(H68,H$11:H$333)+COUNTIF(H$11:H68,H68)-1)))</f>
        <v/>
      </c>
      <c r="J68" s="40"/>
      <c r="K68" s="35">
        <f t="shared" si="10"/>
        <v>58</v>
      </c>
      <c r="L68" t="str">
        <f t="shared" si="2"/>
        <v>Westmorland &amp; Furness</v>
      </c>
      <c r="M68" s="109">
        <f t="shared" si="3"/>
        <v>30</v>
      </c>
      <c r="N68" s="104">
        <f t="shared" si="31"/>
        <v>30</v>
      </c>
      <c r="O68" s="89" t="str">
        <f t="shared" si="32"/>
        <v/>
      </c>
      <c r="P68" s="89" t="str">
        <f t="shared" si="33"/>
        <v/>
      </c>
      <c r="Q68" s="89" t="str">
        <f t="shared" si="34"/>
        <v/>
      </c>
      <c r="R68" s="85">
        <f t="shared" si="35"/>
        <v>30</v>
      </c>
      <c r="S68" s="41" t="str">
        <f t="shared" si="36"/>
        <v/>
      </c>
      <c r="T68" s="166" t="str">
        <f>IF(L68="","",VLOOKUP(L68,classifications!C:K,9,FALSE))</f>
        <v>Sparse</v>
      </c>
      <c r="U68" s="167">
        <f t="shared" si="37"/>
        <v>30</v>
      </c>
      <c r="V68" s="173">
        <f>IF(U68="","",IF($I$8="A",(RANK(U68,U$11:U$333)+COUNTIF(U$11:U68,U68)-1),(RANK(U68,U$11:U$333,1)+COUNTIF(U$11:U68,U68)-1)))</f>
        <v>3</v>
      </c>
      <c r="W68" s="174"/>
      <c r="X68" s="5" t="str">
        <f>IF(L68="","",VLOOKUP($L68,classifications!$C:$J,6,FALSE))</f>
        <v xml:space="preserve">Predominantly Rural </v>
      </c>
      <c r="Y68">
        <f t="shared" si="38"/>
        <v>30</v>
      </c>
      <c r="Z68" s="39">
        <f>IF(Y68="","",IF(I$8="A",(RANK(Y68,Y$11:Y$333,1)+COUNTIF(Y$11:Y68,Y68)-1),(RANK(Y68,Y$11:Y$333)+COUNTIF(Y$11:Y68,Y68)-1)))</f>
        <v>20</v>
      </c>
      <c r="AA68" s="177" t="str">
        <f>IF(L68="","",VLOOKUP($L68,classifications!C:I,7,FALSE))</f>
        <v>Predominantly Rural</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22</v>
      </c>
      <c r="AH68" s="46">
        <f t="shared" si="40"/>
        <v>58</v>
      </c>
      <c r="AI68" s="5" t="str">
        <f>IF(L68="","",VLOOKUP($L68,classifications!$C:$J,8,FALSE))</f>
        <v>Unitary</v>
      </c>
      <c r="AJ68" s="42">
        <f t="shared" si="41"/>
        <v>30</v>
      </c>
      <c r="AK68" s="39">
        <f>IF(AJ68="","",IF(I$8="A",(RANK(AJ68,AJ$11:AJ$333,1)+COUNTIF(AJ$11:AJ68,AJ68)-1),(RANK(AJ68,AJ$11:AJ$333)+COUNTIF(AJ$11:AJ68,AJ68)-1)))</f>
        <v>58</v>
      </c>
      <c r="AL68" s="3">
        <f t="shared" si="16"/>
        <v>58</v>
      </c>
      <c r="AM68" t="str">
        <f t="shared" si="6"/>
        <v>Westmorland &amp; Furness</v>
      </c>
      <c r="AN68">
        <f t="shared" si="7"/>
        <v>30</v>
      </c>
      <c r="AP68" s="5" t="str">
        <f>IF(L68="","",VLOOKUP($L68,classifications!$C:$E,3,FALSE))</f>
        <v>North West</v>
      </c>
      <c r="AQ68" s="42">
        <f t="shared" si="42"/>
        <v>30</v>
      </c>
      <c r="AR68" s="39">
        <f>IF(AQ68="","",IF(I$8="A",(RANK(AQ68,AQ$11:AQ$333,1)+COUNTIF(AQ$11:AQ68,AQ68)-1),(RANK(AQ68,AQ$11:AQ$333)+COUNTIF(AQ$11:AQ68,AQ68)-1)))</f>
        <v>8</v>
      </c>
      <c r="AS68" s="3" t="str">
        <f t="shared" si="18"/>
        <v/>
      </c>
      <c r="AT68" s="39" t="str">
        <f t="shared" si="8"/>
        <v/>
      </c>
      <c r="AU68" s="42" t="str">
        <f t="shared" si="9"/>
        <v/>
      </c>
      <c r="AX68">
        <f>HLOOKUP($AX$9&amp;$AX$10,Data!$A$1:$ZT$1975,(MATCH($C68,Data!$A$1:$A$1975,0)),FALSE)</f>
        <v>14</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25</v>
      </c>
      <c r="G69" s="15"/>
      <c r="H69" s="41" t="str">
        <f t="shared" si="1"/>
        <v/>
      </c>
      <c r="I69" s="73" t="str">
        <f>IF(H69="","",IF($I$8="A",(RANK(H69,H$11:H$333,1)+COUNTIF(H$11:H69,H69)-1),(RANK(H69,H$11:H$333)+COUNTIF(H$11:H69,H69)-1)))</f>
        <v/>
      </c>
      <c r="J69" s="40"/>
      <c r="K69" s="35">
        <f t="shared" si="10"/>
        <v>59</v>
      </c>
      <c r="L69" t="str">
        <f t="shared" si="2"/>
        <v>North Northamptonshire</v>
      </c>
      <c r="M69" s="109">
        <f t="shared" si="3"/>
        <v>32</v>
      </c>
      <c r="N69" s="104">
        <f t="shared" si="31"/>
        <v>32</v>
      </c>
      <c r="O69" s="89" t="str">
        <f t="shared" si="32"/>
        <v/>
      </c>
      <c r="P69" s="89" t="str">
        <f t="shared" si="33"/>
        <v/>
      </c>
      <c r="Q69" s="89" t="str">
        <f t="shared" si="34"/>
        <v/>
      </c>
      <c r="R69" s="85">
        <f t="shared" si="35"/>
        <v>32</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Urban with Significant Rural</v>
      </c>
      <c r="Y69">
        <f t="shared" si="38"/>
        <v>32</v>
      </c>
      <c r="Z69" s="39">
        <f>IF(Y69="","",IF(I$8="A",(RANK(Y69,Y$11:Y$333,1)+COUNTIF(Y$11:Y69,Y69)-1),(RANK(Y69,Y$11:Y$333)+COUNTIF(Y$11:Y69,Y69)-1)))</f>
        <v>21</v>
      </c>
      <c r="AA69" s="177" t="str">
        <f>IF(L69="","",VLOOKUP($L69,classifications!C:I,7,FALSE))</f>
        <v>Urban with Significant Rural</v>
      </c>
      <c r="AB69" s="173">
        <f t="shared" si="39"/>
        <v>32</v>
      </c>
      <c r="AC69" s="173">
        <f>IF(AB69="","",IF($I$8="A",(RANK(AB69,AB$11:AB$333)+COUNTIF(AB$11:AB69,AB69)-1),(RANK(AB69,AB$11:AB$333,1)+COUNTIF(AB$11:AB69,AB69)-1)))</f>
        <v>2</v>
      </c>
      <c r="AD69" s="173"/>
      <c r="AE69" s="45">
        <f>IF(I$8="A",(RANK(AG69,AG$11:AG$333,1)+COUNTIF(AG$11:AG69,AG69)-1),(RANK(AG69,AG$11:AG$333)+COUNTIF(AG$11:AG69,AG69)-1))</f>
        <v>59</v>
      </c>
      <c r="AF69" t="str">
        <f>VLOOKUP(Profile!$J$5,Families!$C:$R,2,FALSE)</f>
        <v>Cheshire West &amp; Chester</v>
      </c>
      <c r="AG69" s="15">
        <f t="shared" si="15"/>
        <v>22</v>
      </c>
      <c r="AH69" s="46">
        <f t="shared" si="40"/>
        <v>59</v>
      </c>
      <c r="AI69" s="5" t="str">
        <f>IF(L69="","",VLOOKUP($L69,classifications!$C:$J,8,FALSE))</f>
        <v>Unitary</v>
      </c>
      <c r="AJ69" s="42">
        <f t="shared" si="41"/>
        <v>32</v>
      </c>
      <c r="AK69" s="39">
        <f>IF(AJ69="","",IF(I$8="A",(RANK(AJ69,AJ$11:AJ$333,1)+COUNTIF(AJ$11:AJ69,AJ69)-1),(RANK(AJ69,AJ$11:AJ$333)+COUNTIF(AJ$11:AJ69,AJ69)-1)))</f>
        <v>59</v>
      </c>
      <c r="AL69" s="3">
        <f t="shared" si="16"/>
        <v>59</v>
      </c>
      <c r="AM69" t="str">
        <f t="shared" si="6"/>
        <v>North Northamptonshire</v>
      </c>
      <c r="AN69">
        <f t="shared" si="7"/>
        <v>32</v>
      </c>
      <c r="AP69" s="5" t="str">
        <f>IF(L69="","",VLOOKUP($L69,classifications!$C:$E,3,FALSE))</f>
        <v>East Midlands</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25</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14</v>
      </c>
      <c r="G70" s="15"/>
      <c r="H70" s="41" t="str">
        <f t="shared" si="1"/>
        <v/>
      </c>
      <c r="I70" s="73" t="str">
        <f>IF(H70="","",IF($I$8="A",(RANK(H70,H$11:H$333,1)+COUNTIF(H$11:H70,H70)-1),(RANK(H70,H$11:H$333)+COUNTIF(H$11:H70,H70)-1)))</f>
        <v/>
      </c>
      <c r="J70" s="40"/>
      <c r="K70" s="35">
        <f t="shared" si="10"/>
        <v>60</v>
      </c>
      <c r="L70" t="str">
        <f t="shared" si="2"/>
        <v>Brighton &amp; Hove</v>
      </c>
      <c r="M70" s="109">
        <f t="shared" si="3"/>
        <v>33</v>
      </c>
      <c r="N70" s="104">
        <f t="shared" si="31"/>
        <v>33</v>
      </c>
      <c r="O70" s="89" t="str">
        <f t="shared" si="32"/>
        <v/>
      </c>
      <c r="P70" s="89" t="str">
        <f t="shared" si="33"/>
        <v/>
      </c>
      <c r="Q70" s="89" t="str">
        <f t="shared" si="34"/>
        <v/>
      </c>
      <c r="R70" s="85">
        <f t="shared" si="35"/>
        <v>33</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22</v>
      </c>
      <c r="AH70" s="46">
        <f t="shared" si="40"/>
        <v>60</v>
      </c>
      <c r="AI70" s="5" t="str">
        <f>IF(L70="","",VLOOKUP($L70,classifications!$C:$J,8,FALSE))</f>
        <v>Unitary</v>
      </c>
      <c r="AJ70" s="42">
        <f t="shared" si="41"/>
        <v>33</v>
      </c>
      <c r="AK70" s="39">
        <f>IF(AJ70="","",IF(I$8="A",(RANK(AJ70,AJ$11:AJ$333,1)+COUNTIF(AJ$11:AJ70,AJ70)-1),(RANK(AJ70,AJ$11:AJ$333)+COUNTIF(AJ$11:AJ70,AJ70)-1)))</f>
        <v>60</v>
      </c>
      <c r="AL70" s="3">
        <f t="shared" si="16"/>
        <v>60</v>
      </c>
      <c r="AM70" t="str">
        <f t="shared" si="6"/>
        <v>Brighton &amp; Hove</v>
      </c>
      <c r="AN70">
        <f t="shared" si="7"/>
        <v>33</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14</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13</v>
      </c>
      <c r="G71" s="15"/>
      <c r="H71" s="41">
        <f t="shared" si="1"/>
        <v>13</v>
      </c>
      <c r="I71" s="73">
        <f>IF(H71="","",IF($I$8="A",(RANK(H71,H$11:H$333,1)+COUNTIF(H$11:H71,H71)-1),(RANK(H71,H$11:H$333)+COUNTIF(H$11:H71,H71)-1)))</f>
        <v>11</v>
      </c>
      <c r="J71" s="40"/>
      <c r="K71" s="35">
        <f t="shared" si="10"/>
        <v>61</v>
      </c>
      <c r="L71" t="str">
        <f t="shared" si="2"/>
        <v>Rutland</v>
      </c>
      <c r="M71" s="109">
        <f t="shared" si="3"/>
        <v>35</v>
      </c>
      <c r="N71" s="104">
        <f t="shared" si="31"/>
        <v>35</v>
      </c>
      <c r="O71" s="89" t="str">
        <f t="shared" si="32"/>
        <v/>
      </c>
      <c r="P71" s="89" t="str">
        <f t="shared" si="33"/>
        <v/>
      </c>
      <c r="Q71" s="89" t="str">
        <f t="shared" si="34"/>
        <v/>
      </c>
      <c r="R71" s="85">
        <f t="shared" si="35"/>
        <v>35</v>
      </c>
      <c r="S71" s="41" t="str">
        <f t="shared" si="36"/>
        <v/>
      </c>
      <c r="T71" s="166" t="str">
        <f>IF(L71="","",VLOOKUP(L71,classifications!C:K,9,FALSE))</f>
        <v>Sparse</v>
      </c>
      <c r="U71" s="167">
        <f t="shared" si="37"/>
        <v>35</v>
      </c>
      <c r="V71" s="173">
        <f>IF(U71="","",IF($I$8="A",(RANK(U71,U$11:U$333)+COUNTIF(U$11:U71,U71)-1),(RANK(U71,U$11:U$333,1)+COUNTIF(U$11:U71,U71)-1)))</f>
        <v>2</v>
      </c>
      <c r="W71" s="174"/>
      <c r="X71" s="5" t="str">
        <f>IF(L71="","",VLOOKUP($L71,classifications!$C:$J,6,FALSE))</f>
        <v xml:space="preserve">Predominantly Rural </v>
      </c>
      <c r="Y71">
        <f t="shared" si="38"/>
        <v>35</v>
      </c>
      <c r="Z71" s="39">
        <f>IF(Y71="","",IF(I$8="A",(RANK(Y71,Y$11:Y$333,1)+COUNTIF(Y$11:Y71,Y71)-1),(RANK(Y71,Y$11:Y$333)+COUNTIF(Y$11:Y71,Y71)-1)))</f>
        <v>22</v>
      </c>
      <c r="AA71" s="177" t="str">
        <f>IF(L71="","",VLOOKUP($L71,classifications!C:I,7,FALSE))</f>
        <v>Predominantly Rural</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22</v>
      </c>
      <c r="AH71" s="46">
        <f t="shared" si="40"/>
        <v>61</v>
      </c>
      <c r="AI71" s="5" t="str">
        <f>IF(L71="","",VLOOKUP($L71,classifications!$C:$J,8,FALSE))</f>
        <v>Unitary</v>
      </c>
      <c r="AJ71" s="42">
        <f t="shared" si="41"/>
        <v>35</v>
      </c>
      <c r="AK71" s="39">
        <f>IF(AJ71="","",IF(I$8="A",(RANK(AJ71,AJ$11:AJ$333,1)+COUNTIF(AJ$11:AJ71,AJ71)-1),(RANK(AJ71,AJ$11:AJ$333)+COUNTIF(AJ$11:AJ71,AJ71)-1)))</f>
        <v>61</v>
      </c>
      <c r="AL71" s="3">
        <f t="shared" si="16"/>
        <v>61</v>
      </c>
      <c r="AM71" t="str">
        <f t="shared" si="6"/>
        <v>Rutland</v>
      </c>
      <c r="AN71">
        <f t="shared" si="7"/>
        <v>35</v>
      </c>
      <c r="AP71" s="5" t="str">
        <f>IF(L71="","",VLOOKUP($L71,classifications!$C:$E,3,FALSE))</f>
        <v>East Midlands</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13</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15</v>
      </c>
      <c r="G72" s="15"/>
      <c r="H72" s="41" t="str">
        <f t="shared" si="1"/>
        <v/>
      </c>
      <c r="I72" s="73" t="str">
        <f>IF(H72="","",IF($I$8="A",(RANK(H72,H$11:H$333,1)+COUNTIF(H$11:H72,H72)-1),(RANK(H72,H$11:H$333)+COUNTIF(H$11:H72,H72)-1)))</f>
        <v/>
      </c>
      <c r="J72" s="40"/>
      <c r="K72" s="35">
        <f t="shared" si="10"/>
        <v>62</v>
      </c>
      <c r="L72" t="str">
        <f t="shared" si="2"/>
        <v>West Northamptonshire</v>
      </c>
      <c r="M72" s="109">
        <f t="shared" si="3"/>
        <v>48</v>
      </c>
      <c r="N72" s="104">
        <f t="shared" si="31"/>
        <v>48</v>
      </c>
      <c r="O72" s="89" t="str">
        <f t="shared" si="32"/>
        <v/>
      </c>
      <c r="P72" s="89" t="str">
        <f t="shared" si="33"/>
        <v/>
      </c>
      <c r="Q72" s="89" t="str">
        <f t="shared" si="34"/>
        <v/>
      </c>
      <c r="R72" s="85">
        <f t="shared" si="35"/>
        <v>48</v>
      </c>
      <c r="S72" s="41" t="str">
        <f t="shared" si="36"/>
        <v/>
      </c>
      <c r="T72" s="166" t="str">
        <f>IF(L72="","",VLOOKUP(L72,classifications!C:K,9,FALSE))</f>
        <v>Sparse</v>
      </c>
      <c r="U72" s="167">
        <f t="shared" si="37"/>
        <v>48</v>
      </c>
      <c r="V72" s="173">
        <f>IF(U72="","",IF($I$8="A",(RANK(U72,U$11:U$333)+COUNTIF(U$11:U72,U72)-1),(RANK(U72,U$11:U$333,1)+COUNTIF(U$11:U72,U72)-1)))</f>
        <v>1</v>
      </c>
      <c r="W72" s="174"/>
      <c r="X72" s="5" t="str">
        <f>IF(L72="","",VLOOKUP($L72,classifications!$C:$J,6,FALSE))</f>
        <v>Urban with Significant Rural</v>
      </c>
      <c r="Y72">
        <f t="shared" si="38"/>
        <v>48</v>
      </c>
      <c r="Z72" s="39">
        <f>IF(Y72="","",IF(I$8="A",(RANK(Y72,Y$11:Y$333,1)+COUNTIF(Y$11:Y72,Y72)-1),(RANK(Y72,Y$11:Y$333)+COUNTIF(Y$11:Y72,Y72)-1)))</f>
        <v>23</v>
      </c>
      <c r="AA72" s="177" t="str">
        <f>IF(L72="","",VLOOKUP($L72,classifications!C:I,7,FALSE))</f>
        <v>Urban with Significant Rural</v>
      </c>
      <c r="AB72" s="173">
        <f t="shared" si="39"/>
        <v>48</v>
      </c>
      <c r="AC72" s="173">
        <f>IF(AB72="","",IF($I$8="A",(RANK(AB72,AB$11:AB$333)+COUNTIF(AB$11:AB72,AB72)-1),(RANK(AB72,AB$11:AB$333,1)+COUNTIF(AB$11:AB72,AB72)-1)))</f>
        <v>1</v>
      </c>
      <c r="AD72" s="173"/>
      <c r="AE72" s="45">
        <f>IF(I$8="A",(RANK(AG72,AG$11:AG$333,1)+COUNTIF(AG$11:AG72,AG72)-1),(RANK(AG72,AG$11:AG$333)+COUNTIF(AG$11:AG72,AG72)-1))</f>
        <v>62</v>
      </c>
      <c r="AF72" t="str">
        <f>VLOOKUP(Profile!$J$5,Families!$C:$R,2,FALSE)</f>
        <v>Cheshire West &amp; Chester</v>
      </c>
      <c r="AG72" s="15">
        <f t="shared" si="15"/>
        <v>22</v>
      </c>
      <c r="AH72" s="46">
        <f t="shared" si="40"/>
        <v>62</v>
      </c>
      <c r="AI72" s="5" t="str">
        <f>IF(L72="","",VLOOKUP($L72,classifications!$C:$J,8,FALSE))</f>
        <v>Unitary</v>
      </c>
      <c r="AJ72" s="42">
        <f t="shared" si="41"/>
        <v>48</v>
      </c>
      <c r="AK72" s="39">
        <f>IF(AJ72="","",IF(I$8="A",(RANK(AJ72,AJ$11:AJ$333,1)+COUNTIF(AJ$11:AJ72,AJ72)-1),(RANK(AJ72,AJ$11:AJ$333)+COUNTIF(AJ$11:AJ72,AJ72)-1)))</f>
        <v>62</v>
      </c>
      <c r="AL72" s="3">
        <f t="shared" si="16"/>
        <v>62</v>
      </c>
      <c r="AM72" t="str">
        <f t="shared" si="6"/>
        <v>West Northamptonshire</v>
      </c>
      <c r="AN72">
        <f t="shared" si="7"/>
        <v>48</v>
      </c>
      <c r="AP72" s="5" t="str">
        <f>IF(L72="","",VLOOKUP($L72,classifications!$C:$E,3,FALSE))</f>
        <v>East Midlands</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15</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13</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22</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13</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18</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22</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18</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34</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22</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34</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15</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22</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15</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19</v>
      </c>
      <c r="G77" s="15"/>
      <c r="H77" s="41">
        <f t="shared" si="44"/>
        <v>19</v>
      </c>
      <c r="I77" s="73">
        <f>IF(H77="","",IF($I$8="A",(RANK(H77,H$11:H$333,1)+COUNTIF(H$11:H77,H77)-1),(RANK(H77,H$11:H$333)+COUNTIF(H$11:H77,H77)-1)))</f>
        <v>28</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22</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19</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29</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22</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29</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26</v>
      </c>
      <c r="G79" s="15"/>
      <c r="H79" s="41">
        <f t="shared" si="44"/>
        <v>26</v>
      </c>
      <c r="I79" s="73">
        <f>IF(H79="","",IF($I$8="A",(RANK(H79,H$11:H$333,1)+COUNTIF(H$11:H79,H79)-1),(RANK(H79,H$11:H$333)+COUNTIF(H$11:H79,H79)-1)))</f>
        <v>51</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22</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26</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22</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13</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22</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13</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22</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14</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22</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14</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20</v>
      </c>
      <c r="G84" s="15"/>
      <c r="H84" s="41">
        <f t="shared" si="44"/>
        <v>20</v>
      </c>
      <c r="I84" s="73">
        <f>IF(H84="","",IF($I$8="A",(RANK(H84,H$11:H$333,1)+COUNTIF(H$11:H84,H84)-1),(RANK(H84,H$11:H$333)+COUNTIF(H$11:H84,H84)-1)))</f>
        <v>32</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22</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20</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26</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22</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26</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27</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22</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27</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12</v>
      </c>
      <c r="G87" s="15"/>
      <c r="H87" s="41">
        <f t="shared" si="44"/>
        <v>12</v>
      </c>
      <c r="I87" s="73">
        <f>IF(H87="","",IF($I$8="A",(RANK(H87,H$11:H$333,1)+COUNTIF(H$11:H87,H87)-1),(RANK(H87,H$11:H$333)+COUNTIF(H$11:H87,H87)-1)))</f>
        <v>7</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22</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12</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25</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22</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25</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24</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22</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24</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17</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22</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17</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17</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22</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17</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27</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22</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27</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39</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22</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39</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22</v>
      </c>
      <c r="G94" s="15"/>
      <c r="H94" s="41">
        <f t="shared" si="44"/>
        <v>22</v>
      </c>
      <c r="I94" s="73">
        <f>IF(H94="","",IF($I$8="A",(RANK(H94,H$11:H$333,1)+COUNTIF(H$11:H94,H94)-1),(RANK(H94,H$11:H$333)+COUNTIF(H$11:H94,H94)-1)))</f>
        <v>41</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22</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22</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9</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22</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v>
      </c>
    </row>
    <row r="96" spans="1:50">
      <c r="A96" s="55" t="str">
        <f>$D$1&amp;86</f>
        <v>UA86</v>
      </c>
      <c r="B96" s="56">
        <f>IF(ISERROR(VLOOKUP(A96,classifications!A:C,3,FALSE)),0,VLOOKUP(A96,classifications!A:C,3,FALSE))</f>
        <v>0</v>
      </c>
      <c r="C96" t="s">
        <v>891</v>
      </c>
      <c r="D96" t="str">
        <f>VLOOKUP($C96,classifications!$C:$J,4,FALSE)</f>
        <v>SD</v>
      </c>
      <c r="E96" t="str">
        <f>VLOOKUP(C96,classifications!C:K,9,FALSE)</f>
        <v>Sparse</v>
      </c>
      <c r="F96">
        <f t="shared" si="43"/>
        <v>27</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22</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27</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22</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56</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22</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56</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14</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22</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14</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9</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22</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30</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22</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30</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11</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22</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11</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8</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22</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8</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12</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22</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12</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22</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20</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22</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20</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9</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22</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23</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22</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23</v>
      </c>
    </row>
    <row r="109" spans="1:50">
      <c r="A109" s="55" t="str">
        <f>$D$1&amp;99</f>
        <v>UA99</v>
      </c>
      <c r="B109" s="56">
        <f>IF(ISERROR(VLOOKUP(A109,classifications!A:C,3,FALSE)),0,VLOOKUP(A109,classifications!A:C,3,FALSE))</f>
        <v>0</v>
      </c>
      <c r="C109" t="s">
        <v>887</v>
      </c>
      <c r="D109" t="str">
        <f>VLOOKUP($C109,classifications!$C:$J,4,FALSE)</f>
        <v>SD</v>
      </c>
      <c r="E109">
        <f>VLOOKUP(C109,classifications!C:K,9,FALSE)</f>
        <v>0</v>
      </c>
      <c r="F109">
        <f t="shared" si="43"/>
        <v>11</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22</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11</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14</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22</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14</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12</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22</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12</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11</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22</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11</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13</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22</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13</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13</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22</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13</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22</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11</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22</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11</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15</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22</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15</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22</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21</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22</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21</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23</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22</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23</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12</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22</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12</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17</v>
      </c>
      <c r="G122" s="15"/>
      <c r="H122" s="41">
        <f t="shared" si="44"/>
        <v>17</v>
      </c>
      <c r="I122" s="73">
        <f>IF(H122="","",IF($I$8="A",(RANK(H122,H$11:H$333,1)+COUNTIF(H$11:H122,H122)-1),(RANK(H122,H$11:H$333)+COUNTIF(H$11:H122,H122)-1)))</f>
        <v>24</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22</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17</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19</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22</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19</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22</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22</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22</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22</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26</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22</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25</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22</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25</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19</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22</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19</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13</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22</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13</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28</v>
      </c>
      <c r="G130" s="15"/>
      <c r="H130" s="41">
        <f t="shared" si="44"/>
        <v>28</v>
      </c>
      <c r="I130" s="73">
        <f>IF(H130="","",IF($I$8="A",(RANK(H130,H$11:H$333,1)+COUNTIF(H$11:H130,H130)-1),(RANK(H130,H$11:H$333)+COUNTIF(H$11:H130,H130)-1)))</f>
        <v>56</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22</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28</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18</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22</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18</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15</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22</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15</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17</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22</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17</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18</v>
      </c>
      <c r="G134" s="15"/>
      <c r="H134" s="41">
        <f t="shared" si="44"/>
        <v>18</v>
      </c>
      <c r="I134" s="73">
        <f>IF(H134="","",IF($I$8="A",(RANK(H134,H$11:H$333,1)+COUNTIF(H$11:H134,H134)-1),(RANK(H134,H$11:H$333)+COUNTIF(H$11:H134,H134)-1)))</f>
        <v>25</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22</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18</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22</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27</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22</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27</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22</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25</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22</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25</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16</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22</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16</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21</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22</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21</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7</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22</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7</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21</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22</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21</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35</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22</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35</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17</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22</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17</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13</v>
      </c>
      <c r="G145" s="15"/>
      <c r="H145" s="41">
        <f t="shared" si="68"/>
        <v>13</v>
      </c>
      <c r="I145" s="73">
        <f>IF(H145="","",IF($I$8="A",(RANK(H145,H$11:H$333,1)+COUNTIF(H$11:H145,H145)-1),(RANK(H145,H$11:H$333)+COUNTIF(H$11:H145,H145)-1)))</f>
        <v>12</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22</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13</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t="e">
        <f t="shared" si="67"/>
        <v>#N/A</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22</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t="e">
        <f>HLOOKUP($AX$9&amp;$AX$10,Data!$A$1:$ZT$1975,(MATCH($C146,Data!$A$1:$A$1975,0)),FALSE)</f>
        <v>#N/A</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22</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22</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22</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13</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22</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13</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22</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9</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22</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26</v>
      </c>
      <c r="G151" s="15"/>
      <c r="H151" s="41">
        <f t="shared" si="68"/>
        <v>26</v>
      </c>
      <c r="I151" s="73">
        <f>IF(H151="","",IF($I$8="A",(RANK(H151,H$11:H$333,1)+COUNTIF(H$11:H151,H151)-1),(RANK(H151,H$11:H$333)+COUNTIF(H$11:H151,H151)-1)))</f>
        <v>52</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22</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26</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21</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22</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21</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25</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22</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25</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20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22</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20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20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22</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20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22</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11</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22</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11</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17</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22</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17</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20</v>
      </c>
      <c r="G159" s="15"/>
      <c r="H159" s="41">
        <f t="shared" si="68"/>
        <v>20</v>
      </c>
      <c r="I159" s="73">
        <f>IF(H159="","",IF($I$8="A",(RANK(H159,H$11:H$333,1)+COUNTIF(H$11:H159,H159)-1),(RANK(H159,H$11:H$333)+COUNTIF(H$11:H159,H159)-1)))</f>
        <v>33</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22</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20</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22</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69</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22</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69</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13</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22</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13</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19</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22</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19</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10</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22</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22</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25</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22</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25</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15</v>
      </c>
      <c r="G167" s="15"/>
      <c r="H167" s="41">
        <f t="shared" si="68"/>
        <v>15</v>
      </c>
      <c r="I167" s="73">
        <f>IF(H167="","",IF($I$8="A",(RANK(H167,H$11:H$333,1)+COUNTIF(H$11:H167,H167)-1),(RANK(H167,H$11:H$333)+COUNTIF(H$11:H167,H167)-1)))</f>
        <v>18</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22</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15</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15</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22</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15</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11</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22</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11</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12</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22</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12</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30</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22</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30</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27</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22</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27</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29</v>
      </c>
      <c r="G173" s="15"/>
      <c r="H173" s="41">
        <f t="shared" si="68"/>
        <v>29</v>
      </c>
      <c r="I173" s="73">
        <f>IF(H173="","",IF($I$8="A",(RANK(H173,H$11:H$333,1)+COUNTIF(H$11:H173,H173)-1),(RANK(H173,H$11:H$333)+COUNTIF(H$11:H173,H173)-1)))</f>
        <v>57</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22</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29</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8</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22</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8</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25</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22</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25</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11</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22</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11</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19</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22</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19</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18</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22</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18</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15</v>
      </c>
      <c r="G179" s="15"/>
      <c r="H179" s="41">
        <f t="shared" si="68"/>
        <v>15</v>
      </c>
      <c r="I179" s="73">
        <f>IF(H179="","",IF($I$8="A",(RANK(H179,H$11:H$333,1)+COUNTIF(H$11:H179,H179)-1),(RANK(H179,H$11:H$333)+COUNTIF(H$11:H179,H179)-1)))</f>
        <v>19</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22</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15</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15</v>
      </c>
      <c r="G180" s="15"/>
      <c r="H180" s="41">
        <f t="shared" si="68"/>
        <v>15</v>
      </c>
      <c r="I180" s="73">
        <f>IF(H180="","",IF($I$8="A",(RANK(H180,H$11:H$333,1)+COUNTIF(H$11:H180,H180)-1),(RANK(H180,H$11:H$333)+COUNTIF(H$11:H180,H180)-1)))</f>
        <v>20</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22</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15</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11</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22</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11</v>
      </c>
    </row>
    <row r="182" spans="1:50">
      <c r="A182" s="55" t="str">
        <f>$D$1&amp;172</f>
        <v>UA172</v>
      </c>
      <c r="B182" s="56">
        <f>IF(ISERROR(VLOOKUP(A182,classifications!A:C,3,FALSE)),0,VLOOKUP(A182,classifications!A:C,3,FALSE))</f>
        <v>0</v>
      </c>
      <c r="C182" t="s">
        <v>106</v>
      </c>
      <c r="D182" t="str">
        <f>VLOOKUP($C182,classifications!$C:$J,4,FALSE)</f>
        <v>SD</v>
      </c>
      <c r="E182">
        <f>VLOOKUP(C182,classifications!C:K,9,FALSE)</f>
        <v>0</v>
      </c>
      <c r="F182">
        <f t="shared" si="67"/>
        <v>11</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22</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11</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17</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22</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17</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15</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22</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15</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14</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22</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14</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44</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22</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44</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22</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24</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22</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24</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20</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22</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20</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26</v>
      </c>
      <c r="G190" s="15"/>
      <c r="H190" s="41">
        <f t="shared" si="68"/>
        <v>26</v>
      </c>
      <c r="I190" s="73">
        <f>IF(H190="","",IF($I$8="A",(RANK(H190,H$11:H$333,1)+COUNTIF(H$11:H190,H190)-1),(RANK(H190,H$11:H$333)+COUNTIF(H$11:H190,H190)-1)))</f>
        <v>53</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22</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26</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15</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22</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15</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15</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22</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15</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21</v>
      </c>
      <c r="G193" s="15"/>
      <c r="H193" s="41">
        <f t="shared" si="68"/>
        <v>21</v>
      </c>
      <c r="I193" s="73">
        <f>IF(H193="","",IF($I$8="A",(RANK(H193,H$11:H$333,1)+COUNTIF(H$11:H193,H193)-1),(RANK(H193,H$11:H$333)+COUNTIF(H$11:H193,H193)-1)))</f>
        <v>37</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22</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21</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6</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22</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6</v>
      </c>
    </row>
    <row r="195" spans="1:50">
      <c r="A195" s="55" t="str">
        <f>$D$1&amp;185</f>
        <v>UA185</v>
      </c>
      <c r="B195" s="56">
        <f>IF(ISERROR(VLOOKUP(A195,classifications!A:C,3,FALSE)),0,VLOOKUP(A195,classifications!A:C,3,FALSE))</f>
        <v>0</v>
      </c>
      <c r="C195" t="s">
        <v>894</v>
      </c>
      <c r="D195" t="str">
        <f>VLOOKUP($C195,classifications!$C:$J,4,FALSE)</f>
        <v>UA</v>
      </c>
      <c r="E195">
        <f>VLOOKUP(C195,classifications!C:K,9,FALSE)</f>
        <v>0</v>
      </c>
      <c r="F195">
        <f t="shared" si="67"/>
        <v>32</v>
      </c>
      <c r="G195" s="15"/>
      <c r="H195" s="41">
        <f t="shared" si="68"/>
        <v>32</v>
      </c>
      <c r="I195" s="73">
        <f>IF(H195="","",IF($I$8="A",(RANK(H195,H$11:H$333,1)+COUNTIF(H$11:H195,H195)-1),(RANK(H195,H$11:H$333)+COUNTIF(H$11:H195,H195)-1)))</f>
        <v>59</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22</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32</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6</v>
      </c>
      <c r="G196" s="15"/>
      <c r="H196" s="41">
        <f t="shared" si="68"/>
        <v>6</v>
      </c>
      <c r="I196" s="73">
        <f>IF(H196="","",IF($I$8="A",(RANK(H196,H$11:H$333,1)+COUNTIF(H$11:H196,H196)-1),(RANK(H196,H$11:H$333)+COUNTIF(H$11:H196,H196)-1)))</f>
        <v>1</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22</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6</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12</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22</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12</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29</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22</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29</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19</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22</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19</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20</v>
      </c>
      <c r="G200" s="15"/>
      <c r="H200" s="41">
        <f t="shared" si="68"/>
        <v>20</v>
      </c>
      <c r="I200" s="73">
        <f>IF(H200="","",IF($I$8="A",(RANK(H200,H$11:H$333,1)+COUNTIF(H$11:H200,H200)-1),(RANK(H200,H$11:H$333)+COUNTIF(H$11:H200,H200)-1)))</f>
        <v>34</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22</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20</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12</v>
      </c>
      <c r="G201" s="15"/>
      <c r="H201" s="41">
        <f t="shared" si="68"/>
        <v>12</v>
      </c>
      <c r="I201" s="73">
        <f>IF(H201="","",IF($I$8="A",(RANK(H201,H$11:H$333,1)+COUNTIF(H$11:H201,H201)-1),(RANK(H201,H$11:H$333)+COUNTIF(H$11:H201,H201)-1)))</f>
        <v>8</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22</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12</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20</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22</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20</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21</v>
      </c>
      <c r="G203" s="15"/>
      <c r="H203" s="41">
        <f t="shared" ref="H203:H266" si="92">IF(D203=$D$1,HLOOKUP($D$6,$AX$10:$ZZ$337,ROW()-9,FALSE),"")</f>
        <v>21</v>
      </c>
      <c r="I203" s="73">
        <f>IF(H203="","",IF($I$8="A",(RANK(H203,H$11:H$333,1)+COUNTIF(H$11:H203,H203)-1),(RANK(H203,H$11:H$333)+COUNTIF(H$11:H203,H203)-1)))</f>
        <v>38</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22</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21</v>
      </c>
    </row>
    <row r="204" spans="1:50">
      <c r="A204" s="55" t="str">
        <f>$D$1&amp;194</f>
        <v>UA194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22</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17</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22</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17</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21</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22</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21</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19</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22</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19</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18</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22</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18</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22</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8</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22</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8</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11</v>
      </c>
      <c r="G211" s="15"/>
      <c r="H211" s="41">
        <f t="shared" si="92"/>
        <v>11</v>
      </c>
      <c r="I211" s="73">
        <f>IF(H211="","",IF($I$8="A",(RANK(H211,H$11:H$333,1)+COUNTIF(H$11:H211,H211)-1),(RANK(H211,H$11:H$333)+COUNTIF(H$11:H211,H211)-1)))</f>
        <v>5</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22</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11</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23</v>
      </c>
      <c r="G212" s="15"/>
      <c r="H212" s="41">
        <f t="shared" si="92"/>
        <v>23</v>
      </c>
      <c r="I212" s="73">
        <f>IF(H212="","",IF($I$8="A",(RANK(H212,H$11:H$333,1)+COUNTIF(H$11:H212,H212)-1),(RANK(H212,H$11:H$333)+COUNTIF(H$11:H212,H212)-1)))</f>
        <v>44</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22</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23</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21</v>
      </c>
      <c r="G213" s="15"/>
      <c r="H213" s="41">
        <f t="shared" si="92"/>
        <v>21</v>
      </c>
      <c r="I213" s="73">
        <f>IF(H213="","",IF($I$8="A",(RANK(H213,H$11:H$333,1)+COUNTIF(H$11:H213,H213)-1),(RANK(H213,H$11:H$333)+COUNTIF(H$11:H213,H213)-1)))</f>
        <v>39</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22</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21</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38</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22</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38</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15</v>
      </c>
      <c r="G215" s="15"/>
      <c r="H215" s="41">
        <f t="shared" si="92"/>
        <v>15</v>
      </c>
      <c r="I215" s="73">
        <f>IF(H215="","",IF($I$8="A",(RANK(H215,H$11:H$333,1)+COUNTIF(H$11:H215,H215)-1),(RANK(H215,H$11:H$333)+COUNTIF(H$11:H215,H215)-1)))</f>
        <v>21</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22</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15</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17</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22</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17</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7</v>
      </c>
      <c r="G217" s="15"/>
      <c r="H217" s="41">
        <f t="shared" si="92"/>
        <v>7</v>
      </c>
      <c r="I217" s="73">
        <f>IF(H217="","",IF($I$8="A",(RANK(H217,H$11:H$333,1)+COUNTIF(H$11:H217,H217)-1),(RANK(H217,H$11:H$333)+COUNTIF(H$11:H217,H217)-1)))</f>
        <v>2</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22</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7</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17</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22</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17</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26</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22</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26</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5</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22</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5</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20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22</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20</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20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22</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20</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9</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22</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11</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22</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11</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19</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22</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19</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16</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22</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16</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24</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22</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24</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17</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22</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17</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22</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4</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22</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4</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35</v>
      </c>
      <c r="G231" s="15"/>
      <c r="H231" s="41">
        <f t="shared" si="92"/>
        <v>35</v>
      </c>
      <c r="I231" s="73">
        <f>IF(H231="","",IF($I$8="A",(RANK(H231,H$11:H$333,1)+COUNTIF(H$11:H231,H231)-1),(RANK(H231,H$11:H$333)+COUNTIF(H$11:H231,H231)-1)))</f>
        <v>61</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22</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35</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16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22</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16</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27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22</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27</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19</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22</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19</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23</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22</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23</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21</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22</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21</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25</v>
      </c>
      <c r="G237" s="15"/>
      <c r="H237" s="41">
        <f t="shared" si="92"/>
        <v>25</v>
      </c>
      <c r="I237" s="73">
        <f>IF(H237="","",IF($I$8="A",(RANK(H237,H$11:H$333,1)+COUNTIF(H$11:H237,H237)-1),(RANK(H237,H$11:H$333)+COUNTIF(H$11:H237,H237)-1)))</f>
        <v>48</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22</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25</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25</v>
      </c>
      <c r="G238" s="15"/>
      <c r="H238" s="41">
        <f t="shared" si="92"/>
        <v>25</v>
      </c>
      <c r="I238" s="73">
        <f>IF(H238="","",IF($I$8="A",(RANK(H238,H$11:H$333,1)+COUNTIF(H$11:H238,H238)-1),(RANK(H238,H$11:H$333)+COUNTIF(H$11:H238,H238)-1)))</f>
        <v>49</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22</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25</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39</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22</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39</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14</v>
      </c>
      <c r="G240" s="15"/>
      <c r="H240" s="41">
        <f t="shared" si="92"/>
        <v>14</v>
      </c>
      <c r="I240" s="73">
        <f>IF(H240="","",IF($I$8="A",(RANK(H240,H$11:H$333,1)+COUNTIF(H$11:H240,H240)-1),(RANK(H240,H$11:H$333)+COUNTIF(H$11:H240,H240)-1)))</f>
        <v>16</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22</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14</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11</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22</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11</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25</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22</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25</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19</v>
      </c>
      <c r="G243" s="15"/>
      <c r="H243" s="41">
        <f t="shared" si="92"/>
        <v>19</v>
      </c>
      <c r="I243" s="73">
        <f>IF(H243="","",IF($I$8="A",(RANK(H243,H$11:H$333,1)+COUNTIF(H$11:H243,H243)-1),(RANK(H243,H$11:H$333)+COUNTIF(H$11:H243,H243)-1)))</f>
        <v>29</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22</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19</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12</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22</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12</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31</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22</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31</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14</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22</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14</v>
      </c>
    </row>
    <row r="247" spans="1:50">
      <c r="A247" s="55" t="str">
        <f>$D$1&amp;237</f>
        <v>UA237</v>
      </c>
      <c r="B247" s="56">
        <f>IF(ISERROR(VLOOKUP(A247,classifications!A:C,3,FALSE)),0,VLOOKUP(A247,classifications!A:C,3,FALSE))</f>
        <v>0</v>
      </c>
      <c r="C247" t="s">
        <v>144</v>
      </c>
      <c r="D247" t="str">
        <f>VLOOKUP($C247,classifications!$C:$J,4,FALSE)</f>
        <v>SD</v>
      </c>
      <c r="E247">
        <f>VLOOKUP(C247,classifications!C:K,9,FALSE)</f>
        <v>0</v>
      </c>
      <c r="F247">
        <f t="shared" si="91"/>
        <v>29</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22</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29</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14</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22</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14</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17</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22</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17</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21</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22</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21</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20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22</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20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24</v>
      </c>
      <c r="G252" s="15"/>
      <c r="H252" s="41">
        <f t="shared" si="92"/>
        <v>24</v>
      </c>
      <c r="I252" s="73">
        <f>IF(H252="","",IF($I$8="A",(RANK(H252,H$11:H$333,1)+COUNTIF(H$11:H252,H252)-1),(RANK(H252,H$11:H$333)+COUNTIF(H$11:H252,H252)-1)))</f>
        <v>46</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22</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24</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27</v>
      </c>
      <c r="G253" s="15"/>
      <c r="H253" s="41">
        <f t="shared" si="92"/>
        <v>27</v>
      </c>
      <c r="I253" s="73">
        <f>IF(H253="","",IF($I$8="A",(RANK(H253,H$11:H$333,1)+COUNTIF(H$11:H253,H253)-1),(RANK(H253,H$11:H$333)+COUNTIF(H$11:H253,H253)-1)))</f>
        <v>55</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22</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27</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24</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22</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24</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24</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22</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24</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11</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22</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22</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22</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22</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22</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22</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22</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22</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19</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22</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19</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24</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22</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24</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13</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22</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13</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13</v>
      </c>
      <c r="G263" s="15"/>
      <c r="H263" s="41">
        <f t="shared" si="92"/>
        <v>13</v>
      </c>
      <c r="I263" s="73">
        <f>IF(H263="","",IF($I$8="A",(RANK(H263,H$11:H$333,1)+COUNTIF(H$11:H263,H263)-1),(RANK(H263,H$11:H$333)+COUNTIF(H$11:H263,H263)-1)))</f>
        <v>13</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22</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13</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20</v>
      </c>
      <c r="G264" s="15"/>
      <c r="H264" s="41">
        <f t="shared" si="92"/>
        <v>20</v>
      </c>
      <c r="I264" s="73">
        <f>IF(H264="","",IF($I$8="A",(RANK(H264,H$11:H$333,1)+COUNTIF(H$11:H264,H264)-1),(RANK(H264,H$11:H$333)+COUNTIF(H$11:H264,H264)-1)))</f>
        <v>35</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22</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20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24</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22</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24</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12</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22</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12</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22</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13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22</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13</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22</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26</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22</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26</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16</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22</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16</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22</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22</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22</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8</v>
      </c>
      <c r="G273" s="15"/>
      <c r="H273" s="41">
        <f t="shared" si="116"/>
        <v>8</v>
      </c>
      <c r="I273" s="73">
        <f>IF(H273="","",IF($I$8="A",(RANK(H273,H$11:H$333,1)+COUNTIF(H$11:H273,H273)-1),(RANK(H273,H$11:H$333)+COUNTIF(H$11:H273,H273)-1)))</f>
        <v>3</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22</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29</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22</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29</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14</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22</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14</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40</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22</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40</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10</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22</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12</v>
      </c>
      <c r="G278" s="15"/>
      <c r="H278" s="41">
        <f t="shared" si="116"/>
        <v>12</v>
      </c>
      <c r="I278" s="73">
        <f>IF(H278="","",IF($I$8="A",(RANK(H278,H$11:H$333,1)+COUNTIF(H$11:H278,H278)-1),(RANK(H278,H$11:H$333)+COUNTIF(H$11:H278,H278)-1)))</f>
        <v>9</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22</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12</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15</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22</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15</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21</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22</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21</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11</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22</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11</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29</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22</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29</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7</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22</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7</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13</v>
      </c>
      <c r="G284" s="15"/>
      <c r="H284" s="41">
        <f t="shared" si="116"/>
        <v>13</v>
      </c>
      <c r="I284" s="73">
        <f>IF(H284="","",IF($I$8="A",(RANK(H284,H$11:H$333,1)+COUNTIF(H$11:H284,H284)-1),(RANK(H284,H$11:H$333)+COUNTIF(H$11:H284,H284)-1)))</f>
        <v>14</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22</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13</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23</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22</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23</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19</v>
      </c>
      <c r="G286" s="15"/>
      <c r="H286" s="41">
        <f t="shared" si="116"/>
        <v>19</v>
      </c>
      <c r="I286" s="73">
        <f>IF(H286="","",IF($I$8="A",(RANK(H286,H$11:H$333,1)+COUNTIF(H$11:H286,H286)-1),(RANK(H286,H$11:H$333)+COUNTIF(H$11:H286,H286)-1)))</f>
        <v>30</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22</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19</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26</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22</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26</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28</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22</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28</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34</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22</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34</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15</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22</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15</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16</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22</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16</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14</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22</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14</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12</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22</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12</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14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22</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14</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16</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22</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16</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23</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22</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23</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25</v>
      </c>
      <c r="G297" s="15"/>
      <c r="H297" s="41">
        <f t="shared" si="116"/>
        <v>25</v>
      </c>
      <c r="I297" s="73">
        <f>IF(H297="","",IF($I$8="A",(RANK(H297,H$11:H$333,1)+COUNTIF(H$11:H297,H297)-1),(RANK(H297,H$11:H$333)+COUNTIF(H$11:H297,H297)-1)))</f>
        <v>50</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22</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25</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26</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22</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26</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22</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22</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19</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22</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19</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25</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22</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25</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15</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22</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15</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22</v>
      </c>
      <c r="G304" s="15"/>
      <c r="H304" s="41">
        <f t="shared" si="116"/>
        <v>22</v>
      </c>
      <c r="I304" s="73">
        <f>IF(H304="","",IF($I$8="A",(RANK(H304,H$11:H$333,1)+COUNTIF(H$11:H304,H304)-1),(RANK(H304,H$11:H$333)+COUNTIF(H$11:H304,H304)-1)))</f>
        <v>42</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22</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22</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11</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22</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11</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28</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22</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28</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15</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22</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15</v>
      </c>
    </row>
    <row r="308" spans="1:50">
      <c r="A308" s="55" t="str">
        <f>$D$1&amp;298</f>
        <v>UA298</v>
      </c>
      <c r="B308" s="56">
        <f>IF(ISERROR(VLOOKUP(A308,classifications!A:C,3,FALSE)),0,VLOOKUP(A308,classifications!A:C,3,FALSE))</f>
        <v>0</v>
      </c>
      <c r="C308" t="s">
        <v>895</v>
      </c>
      <c r="D308" t="str">
        <f>VLOOKUP($C308,classifications!$C:$J,4,FALSE)</f>
        <v>UA</v>
      </c>
      <c r="E308" t="str">
        <f>VLOOKUP(C308,classifications!C:K,9,FALSE)</f>
        <v>Sparse</v>
      </c>
      <c r="F308">
        <f t="shared" si="115"/>
        <v>48</v>
      </c>
      <c r="G308" s="15"/>
      <c r="H308" s="41">
        <f t="shared" si="116"/>
        <v>48</v>
      </c>
      <c r="I308" s="73">
        <f>IF(H308="","",IF($I$8="A",(RANK(H308,H$11:H$333,1)+COUNTIF(H$11:H308,H308)-1),(RANK(H308,H$11:H$333)+COUNTIF(H$11:H308,H308)-1)))</f>
        <v>62</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22</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48</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13</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22</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13</v>
      </c>
    </row>
    <row r="310" spans="1:50">
      <c r="A310" s="55" t="str">
        <f>$D$1&amp;300</f>
        <v>UA300</v>
      </c>
      <c r="B310" s="56">
        <f>IF(ISERROR(VLOOKUP(A310,classifications!A:C,3,FALSE)),0,VLOOKUP(A310,classifications!A:C,3,FALSE))</f>
        <v>0</v>
      </c>
      <c r="C310" t="s">
        <v>892</v>
      </c>
      <c r="D310" t="str">
        <f>VLOOKUP($C310,classifications!$C:$J,4,FALSE)</f>
        <v>SD</v>
      </c>
      <c r="E310" t="str">
        <f>VLOOKUP(C310,classifications!C:K,9,FALSE)</f>
        <v>Sparse</v>
      </c>
      <c r="F310">
        <f t="shared" si="115"/>
        <v>23</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22</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23</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22</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19</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22</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19</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11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22</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11</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20</v>
      </c>
      <c r="G314" s="15"/>
      <c r="H314" s="41">
        <f t="shared" si="116"/>
        <v>20</v>
      </c>
      <c r="I314" s="73">
        <f>IF(H314="","",IF($I$8="A",(RANK(H314,H$11:H$333,1)+COUNTIF(H$11:H314,H314)-1),(RANK(H314,H$11:H$333)+COUNTIF(H$11:H314,H314)-1)))</f>
        <v>36</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22</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20</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20</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22</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20</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14</v>
      </c>
      <c r="G316" s="15"/>
      <c r="H316" s="41">
        <f t="shared" si="116"/>
        <v>14</v>
      </c>
      <c r="I316" s="73">
        <f>IF(H316="","",IF($I$8="A",(RANK(H316,H$11:H$333,1)+COUNTIF(H$11:H316,H316)-1),(RANK(H316,H$11:H$333)+COUNTIF(H$11:H316,H316)-1)))</f>
        <v>17</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22</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14</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29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22</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29</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15</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22</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15</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15</v>
      </c>
      <c r="G319" s="15"/>
      <c r="H319" s="41">
        <f t="shared" si="116"/>
        <v>15</v>
      </c>
      <c r="I319" s="73">
        <f>IF(H319="","",IF($I$8="A",(RANK(H319,H$11:H$333,1)+COUNTIF(H$11:H319,H319)-1),(RANK(H319,H$11:H$333)+COUNTIF(H$11:H319,H319)-1)))</f>
        <v>22</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22</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15</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29</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22</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29</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12</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22</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12</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22</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26</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22</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26</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16</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22</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16</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17</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22</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17</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21</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22</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21</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11</v>
      </c>
      <c r="G327" s="15"/>
      <c r="H327" s="41">
        <f t="shared" si="116"/>
        <v>11</v>
      </c>
      <c r="I327" s="73">
        <f>IF(H327="","",IF($I$8="A",(RANK(H327,H$11:H$333,1)+COUNTIF(H$11:H327,H327)-1),(RANK(H327,H$11:H$333)+COUNTIF(H$11:H327,H327)-1)))</f>
        <v>6</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22</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11</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1" t="s">
        <v>899</v>
      </c>
      <c r="B2" t="s">
        <v>822</v>
      </c>
      <c r="C2" t="s">
        <v>822</v>
      </c>
      <c r="D2" t="s">
        <v>903</v>
      </c>
      <c r="F2" t="s">
        <v>901</v>
      </c>
    </row>
    <row r="3" spans="1:6" ht="14.4">
      <c r="A3" s="231" t="s">
        <v>900</v>
      </c>
      <c r="B3" t="s">
        <v>822</v>
      </c>
      <c r="C3" t="s">
        <v>822</v>
      </c>
      <c r="D3" t="s">
        <v>903</v>
      </c>
      <c r="F3" t="s">
        <v>902</v>
      </c>
    </row>
    <row r="4" spans="1:6" ht="14.4">
      <c r="A4" s="231"/>
      <c r="F4" t="s">
        <v>905</v>
      </c>
    </row>
    <row r="5" spans="1:6" ht="14.4">
      <c r="A5" s="198"/>
      <c r="F5" t="s">
        <v>906</v>
      </c>
    </row>
    <row r="6" spans="1:6" ht="14.4">
      <c r="A6" s="198"/>
      <c r="F6" s="223"/>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G7" sqref="G7:J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Housing Benefit - New ClaimsQ1 2023/24</v>
      </c>
      <c r="D1" s="136" t="str">
        <f t="shared" ref="D1:BI1" si="0">D4&amp;D5</f>
        <v>Housing Benefit - Change of CircumstancesQ1 2023/24</v>
      </c>
      <c r="E1" s="136" t="str">
        <f t="shared" si="0"/>
        <v>Housing Benefit - New ClaimsQ2 2023/24</v>
      </c>
      <c r="F1" s="136" t="str">
        <f t="shared" si="0"/>
        <v>Housing Benefit - Change of CircumstancesQ2 2023/24</v>
      </c>
      <c r="G1" s="136" t="str">
        <f t="shared" si="0"/>
        <v>Housing Benefit - New ClaimsQ3 2023/24</v>
      </c>
      <c r="H1" s="136" t="str">
        <f t="shared" si="0"/>
        <v>Housing Benefit - Change of CircumstancesQ3 2023/24</v>
      </c>
      <c r="I1" s="136" t="str">
        <f t="shared" si="0"/>
        <v>Housing Benefit - New ClaimsQ4 2023/24</v>
      </c>
      <c r="J1" s="136" t="str">
        <f t="shared" si="0"/>
        <v>Housing Benefit - Change of CircumstancesQ4 2023/24</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2" t="s">
        <v>898</v>
      </c>
      <c r="D3" s="140"/>
      <c r="E3" s="140"/>
      <c r="F3" s="130"/>
      <c r="G3" s="115"/>
      <c r="H3" s="130"/>
      <c r="I3" s="143"/>
      <c r="J3" s="143"/>
      <c r="K3" s="143"/>
      <c r="L3" s="115"/>
      <c r="M3" s="115"/>
      <c r="N3" s="115"/>
      <c r="O3" s="143"/>
      <c r="P3" s="325"/>
      <c r="Q3" s="325"/>
      <c r="R3" s="130"/>
      <c r="S3" s="130"/>
    </row>
    <row r="4" spans="1:71" ht="60" customHeight="1">
      <c r="A4" s="323" t="s">
        <v>821</v>
      </c>
      <c r="B4" s="138" t="s">
        <v>801</v>
      </c>
      <c r="C4" s="231" t="s">
        <v>899</v>
      </c>
      <c r="D4" s="231" t="s">
        <v>900</v>
      </c>
      <c r="E4" s="231" t="s">
        <v>899</v>
      </c>
      <c r="F4" s="231" t="s">
        <v>900</v>
      </c>
      <c r="G4" s="231" t="s">
        <v>899</v>
      </c>
      <c r="H4" s="231" t="s">
        <v>900</v>
      </c>
      <c r="I4" s="231" t="s">
        <v>899</v>
      </c>
      <c r="J4" s="231" t="s">
        <v>900</v>
      </c>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4"/>
      <c r="B5" s="139" t="s">
        <v>364</v>
      </c>
      <c r="C5" t="s">
        <v>901</v>
      </c>
      <c r="D5" t="s">
        <v>901</v>
      </c>
      <c r="E5" t="s">
        <v>902</v>
      </c>
      <c r="F5" t="s">
        <v>902</v>
      </c>
      <c r="G5" t="s">
        <v>905</v>
      </c>
      <c r="H5" t="s">
        <v>905</v>
      </c>
      <c r="I5" t="s">
        <v>906</v>
      </c>
      <c r="J5" t="s">
        <v>906</v>
      </c>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t="s">
        <v>885</v>
      </c>
      <c r="J6" s="155" t="s">
        <v>885</v>
      </c>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32</v>
      </c>
      <c r="D7">
        <v>5</v>
      </c>
      <c r="E7">
        <v>27</v>
      </c>
      <c r="F7">
        <v>5</v>
      </c>
      <c r="G7">
        <v>22</v>
      </c>
      <c r="H7">
        <v>6</v>
      </c>
      <c r="I7">
        <v>25</v>
      </c>
      <c r="J7">
        <v>3</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20</v>
      </c>
      <c r="D8">
        <v>7</v>
      </c>
      <c r="E8">
        <v>20</v>
      </c>
      <c r="F8">
        <v>7</v>
      </c>
      <c r="G8">
        <v>14</v>
      </c>
      <c r="H8">
        <v>5</v>
      </c>
      <c r="I8">
        <v>21</v>
      </c>
      <c r="J8">
        <v>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14</v>
      </c>
      <c r="D9">
        <v>3</v>
      </c>
      <c r="E9">
        <v>14</v>
      </c>
      <c r="F9">
        <v>3</v>
      </c>
      <c r="G9">
        <v>8</v>
      </c>
      <c r="H9">
        <v>2</v>
      </c>
      <c r="I9">
        <v>12</v>
      </c>
      <c r="J9">
        <v>1</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20</v>
      </c>
      <c r="D10">
        <v>8</v>
      </c>
      <c r="E10">
        <v>24</v>
      </c>
      <c r="F10">
        <v>8</v>
      </c>
      <c r="G10">
        <v>19</v>
      </c>
      <c r="H10">
        <v>7</v>
      </c>
      <c r="I10">
        <v>22</v>
      </c>
      <c r="J10">
        <v>3</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21</v>
      </c>
      <c r="D11">
        <v>2</v>
      </c>
      <c r="E11">
        <v>18</v>
      </c>
      <c r="F11">
        <v>2</v>
      </c>
      <c r="G11">
        <v>19</v>
      </c>
      <c r="H11">
        <v>2</v>
      </c>
      <c r="I11">
        <v>18</v>
      </c>
      <c r="J11">
        <v>1</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17</v>
      </c>
      <c r="D12">
        <v>4</v>
      </c>
      <c r="E12">
        <v>17</v>
      </c>
      <c r="F12">
        <v>4</v>
      </c>
      <c r="G12">
        <v>17</v>
      </c>
      <c r="H12">
        <v>3</v>
      </c>
      <c r="I12">
        <v>17</v>
      </c>
      <c r="J12">
        <v>2</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18</v>
      </c>
      <c r="D13">
        <v>9</v>
      </c>
      <c r="E13">
        <v>19</v>
      </c>
      <c r="F13">
        <v>10</v>
      </c>
      <c r="G13">
        <v>18</v>
      </c>
      <c r="H13">
        <v>11</v>
      </c>
      <c r="I13">
        <v>20</v>
      </c>
      <c r="J13">
        <v>3</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21</v>
      </c>
      <c r="D14">
        <v>5</v>
      </c>
      <c r="E14">
        <v>17</v>
      </c>
      <c r="F14">
        <v>5</v>
      </c>
      <c r="G14">
        <v>17</v>
      </c>
      <c r="H14">
        <v>6</v>
      </c>
      <c r="I14">
        <v>19</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17</v>
      </c>
      <c r="D15">
        <v>8</v>
      </c>
      <c r="E15">
        <v>11</v>
      </c>
      <c r="F15">
        <v>7</v>
      </c>
      <c r="G15">
        <v>13</v>
      </c>
      <c r="H15">
        <v>6</v>
      </c>
      <c r="I15">
        <v>15</v>
      </c>
      <c r="J15">
        <v>2</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15</v>
      </c>
      <c r="D16">
        <v>12</v>
      </c>
      <c r="E16">
        <v>17</v>
      </c>
      <c r="F16">
        <v>4</v>
      </c>
      <c r="G16">
        <v>16</v>
      </c>
      <c r="H16">
        <v>4</v>
      </c>
      <c r="I16">
        <v>15</v>
      </c>
      <c r="J16">
        <v>3</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14</v>
      </c>
      <c r="D17">
        <v>5</v>
      </c>
      <c r="E17">
        <v>16</v>
      </c>
      <c r="F17">
        <v>4</v>
      </c>
      <c r="G17">
        <v>15</v>
      </c>
      <c r="H17">
        <v>5</v>
      </c>
      <c r="I17">
        <v>17</v>
      </c>
      <c r="J17">
        <v>3</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31</v>
      </c>
      <c r="D18">
        <v>13</v>
      </c>
      <c r="E18">
        <v>32</v>
      </c>
      <c r="F18">
        <v>15</v>
      </c>
      <c r="G18">
        <v>31</v>
      </c>
      <c r="H18">
        <v>11</v>
      </c>
      <c r="I18">
        <v>24</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20</v>
      </c>
      <c r="D19">
        <v>3</v>
      </c>
      <c r="E19">
        <v>22</v>
      </c>
      <c r="F19">
        <v>3</v>
      </c>
      <c r="G19">
        <v>21</v>
      </c>
      <c r="H19">
        <v>3</v>
      </c>
      <c r="I19">
        <v>24</v>
      </c>
      <c r="J19">
        <v>2</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16</v>
      </c>
      <c r="D20">
        <v>7</v>
      </c>
      <c r="E20">
        <v>16</v>
      </c>
      <c r="F20">
        <v>7</v>
      </c>
      <c r="G20">
        <v>19</v>
      </c>
      <c r="H20">
        <v>9</v>
      </c>
      <c r="I20">
        <v>19</v>
      </c>
      <c r="J20">
        <v>4</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13</v>
      </c>
      <c r="D21">
        <v>8</v>
      </c>
      <c r="E21">
        <v>13</v>
      </c>
      <c r="F21">
        <v>10</v>
      </c>
      <c r="G21">
        <v>16</v>
      </c>
      <c r="H21">
        <v>11</v>
      </c>
      <c r="I21">
        <v>15</v>
      </c>
      <c r="J21">
        <v>7</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16</v>
      </c>
      <c r="D22">
        <v>7</v>
      </c>
      <c r="E22">
        <v>13</v>
      </c>
      <c r="F22">
        <v>9</v>
      </c>
      <c r="G22">
        <v>13</v>
      </c>
      <c r="H22">
        <v>9</v>
      </c>
      <c r="I22">
        <v>14</v>
      </c>
      <c r="J22">
        <v>4</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25</v>
      </c>
      <c r="D23">
        <v>9</v>
      </c>
      <c r="E23">
        <v>22</v>
      </c>
      <c r="F23">
        <v>6</v>
      </c>
      <c r="G23">
        <v>19</v>
      </c>
      <c r="H23">
        <v>6</v>
      </c>
      <c r="I23">
        <v>17</v>
      </c>
      <c r="J23">
        <v>3</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v>
      </c>
      <c r="D24">
        <v>6</v>
      </c>
      <c r="E24">
        <v>12</v>
      </c>
      <c r="F24">
        <v>7</v>
      </c>
      <c r="G24">
        <v>9</v>
      </c>
      <c r="H24">
        <v>5</v>
      </c>
      <c r="I24">
        <v>10</v>
      </c>
      <c r="J24">
        <v>2</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23</v>
      </c>
      <c r="D25">
        <v>12</v>
      </c>
      <c r="E25">
        <v>30</v>
      </c>
      <c r="F25">
        <v>16</v>
      </c>
      <c r="G25">
        <v>16</v>
      </c>
      <c r="H25">
        <v>20</v>
      </c>
      <c r="I25">
        <v>13</v>
      </c>
      <c r="J25">
        <v>3</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20</v>
      </c>
      <c r="D26">
        <v>7</v>
      </c>
      <c r="E26">
        <v>18</v>
      </c>
      <c r="F26">
        <v>7</v>
      </c>
      <c r="G26">
        <v>25</v>
      </c>
      <c r="H26">
        <v>5</v>
      </c>
      <c r="I26">
        <v>24</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25</v>
      </c>
      <c r="D27">
        <v>9</v>
      </c>
      <c r="E27">
        <v>23</v>
      </c>
      <c r="F27">
        <v>19</v>
      </c>
      <c r="G27">
        <v>23</v>
      </c>
      <c r="H27">
        <v>15</v>
      </c>
      <c r="I27">
        <v>24</v>
      </c>
      <c r="J27">
        <v>4</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22</v>
      </c>
      <c r="D28">
        <v>9</v>
      </c>
      <c r="E28">
        <v>16</v>
      </c>
      <c r="F28">
        <v>9</v>
      </c>
      <c r="G28">
        <v>18</v>
      </c>
      <c r="H28">
        <v>15</v>
      </c>
      <c r="I28">
        <v>30</v>
      </c>
      <c r="J28">
        <v>4</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893</v>
      </c>
      <c r="B29" s="134"/>
      <c r="C29">
        <v>19</v>
      </c>
      <c r="D29">
        <v>10</v>
      </c>
      <c r="E29">
        <v>16</v>
      </c>
      <c r="F29">
        <v>8</v>
      </c>
      <c r="G29">
        <v>16</v>
      </c>
      <c r="H29">
        <v>6</v>
      </c>
      <c r="I29">
        <v>19</v>
      </c>
      <c r="J29">
        <v>3</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15</v>
      </c>
      <c r="D30">
        <v>6</v>
      </c>
      <c r="E30">
        <v>13</v>
      </c>
      <c r="F30">
        <v>4</v>
      </c>
      <c r="G30">
        <v>11</v>
      </c>
      <c r="H30">
        <v>4</v>
      </c>
      <c r="I30">
        <v>14</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17</v>
      </c>
      <c r="D31">
        <v>8</v>
      </c>
      <c r="E31">
        <v>12</v>
      </c>
      <c r="F31">
        <v>8</v>
      </c>
      <c r="G31">
        <v>12</v>
      </c>
      <c r="H31">
        <v>8</v>
      </c>
      <c r="I31">
        <v>13</v>
      </c>
      <c r="J31">
        <v>3</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21</v>
      </c>
      <c r="D32">
        <v>5</v>
      </c>
      <c r="E32">
        <v>15</v>
      </c>
      <c r="F32">
        <v>4</v>
      </c>
      <c r="G32">
        <v>16</v>
      </c>
      <c r="H32">
        <v>4</v>
      </c>
      <c r="I32">
        <v>16</v>
      </c>
      <c r="J32">
        <v>2</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27</v>
      </c>
      <c r="D33">
        <v>8</v>
      </c>
      <c r="E33">
        <v>26</v>
      </c>
      <c r="F33">
        <v>8</v>
      </c>
      <c r="G33">
        <v>19</v>
      </c>
      <c r="H33">
        <v>8</v>
      </c>
      <c r="I33">
        <v>20</v>
      </c>
      <c r="J33">
        <v>3</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19</v>
      </c>
      <c r="D34">
        <v>6</v>
      </c>
      <c r="E34">
        <v>19</v>
      </c>
      <c r="F34">
        <v>8</v>
      </c>
      <c r="G34">
        <v>21</v>
      </c>
      <c r="H34">
        <v>8</v>
      </c>
      <c r="I34">
        <v>21</v>
      </c>
      <c r="J34">
        <v>3</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17</v>
      </c>
      <c r="D35">
        <v>16</v>
      </c>
      <c r="E35">
        <v>16</v>
      </c>
      <c r="F35">
        <v>4</v>
      </c>
      <c r="G35">
        <v>16</v>
      </c>
      <c r="H35">
        <v>5</v>
      </c>
      <c r="I35">
        <v>18</v>
      </c>
      <c r="J35">
        <v>3</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21</v>
      </c>
      <c r="D36">
        <v>12</v>
      </c>
      <c r="E36">
        <v>22</v>
      </c>
      <c r="F36">
        <v>13</v>
      </c>
      <c r="G36">
        <v>27</v>
      </c>
      <c r="H36">
        <v>18</v>
      </c>
      <c r="I36">
        <v>33</v>
      </c>
      <c r="J36">
        <v>6</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15</v>
      </c>
      <c r="D37">
        <v>11</v>
      </c>
      <c r="E37">
        <v>18</v>
      </c>
      <c r="F37">
        <v>18</v>
      </c>
      <c r="G37">
        <v>17</v>
      </c>
      <c r="H37">
        <v>13</v>
      </c>
      <c r="I37">
        <v>17</v>
      </c>
      <c r="J37">
        <v>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22</v>
      </c>
      <c r="D38">
        <v>8</v>
      </c>
      <c r="E38">
        <v>22</v>
      </c>
      <c r="F38">
        <v>6</v>
      </c>
      <c r="G38" t="s">
        <v>879</v>
      </c>
      <c r="H38" t="s">
        <v>879</v>
      </c>
      <c r="I38">
        <v>41</v>
      </c>
      <c r="J38">
        <v>9</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12</v>
      </c>
      <c r="D39">
        <v>10</v>
      </c>
      <c r="E39">
        <v>22</v>
      </c>
      <c r="F39">
        <v>18</v>
      </c>
      <c r="G39">
        <v>16</v>
      </c>
      <c r="H39">
        <v>6</v>
      </c>
      <c r="I39">
        <v>15</v>
      </c>
      <c r="J39">
        <v>4</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23</v>
      </c>
      <c r="D40">
        <v>11</v>
      </c>
      <c r="E40">
        <v>17</v>
      </c>
      <c r="F40">
        <v>7</v>
      </c>
      <c r="G40">
        <v>14</v>
      </c>
      <c r="H40">
        <v>9</v>
      </c>
      <c r="I40">
        <v>19</v>
      </c>
      <c r="J40">
        <v>4</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19</v>
      </c>
      <c r="D41">
        <v>9</v>
      </c>
      <c r="E41">
        <v>14</v>
      </c>
      <c r="F41">
        <v>7</v>
      </c>
      <c r="G41">
        <v>12</v>
      </c>
      <c r="H41">
        <v>10</v>
      </c>
      <c r="I41">
        <v>15</v>
      </c>
      <c r="J41">
        <v>4</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v>
      </c>
      <c r="D42">
        <v>6</v>
      </c>
      <c r="E42">
        <v>6</v>
      </c>
      <c r="F42">
        <v>4</v>
      </c>
      <c r="G42">
        <v>7</v>
      </c>
      <c r="H42">
        <v>5</v>
      </c>
      <c r="I42">
        <v>7</v>
      </c>
      <c r="J42">
        <v>2</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29</v>
      </c>
      <c r="D43">
        <v>10</v>
      </c>
      <c r="E43">
        <v>21</v>
      </c>
      <c r="F43">
        <v>9</v>
      </c>
      <c r="G43">
        <v>26</v>
      </c>
      <c r="H43">
        <v>8</v>
      </c>
      <c r="I43">
        <v>23</v>
      </c>
      <c r="J43">
        <v>2</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8</v>
      </c>
      <c r="D44">
        <v>4</v>
      </c>
      <c r="E44">
        <v>8</v>
      </c>
      <c r="F44">
        <v>3</v>
      </c>
      <c r="G44">
        <v>9</v>
      </c>
      <c r="H44">
        <v>3</v>
      </c>
      <c r="I44">
        <v>9</v>
      </c>
      <c r="J44">
        <v>2</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31</v>
      </c>
      <c r="D45">
        <v>8</v>
      </c>
      <c r="E45">
        <v>26</v>
      </c>
      <c r="F45">
        <v>9</v>
      </c>
      <c r="G45">
        <v>29</v>
      </c>
      <c r="H45">
        <v>10</v>
      </c>
      <c r="I45">
        <v>34</v>
      </c>
      <c r="J45">
        <v>3</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24</v>
      </c>
      <c r="D46">
        <v>11</v>
      </c>
      <c r="E46">
        <v>18</v>
      </c>
      <c r="F46">
        <v>10</v>
      </c>
      <c r="G46">
        <v>14</v>
      </c>
      <c r="H46">
        <v>9</v>
      </c>
      <c r="I46">
        <v>17</v>
      </c>
      <c r="J46">
        <v>3</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11</v>
      </c>
      <c r="D47">
        <v>3</v>
      </c>
      <c r="E47">
        <v>8</v>
      </c>
      <c r="F47">
        <v>3</v>
      </c>
      <c r="G47">
        <v>9</v>
      </c>
      <c r="H47">
        <v>2</v>
      </c>
      <c r="I47">
        <v>9</v>
      </c>
      <c r="J47">
        <v>1</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32</v>
      </c>
      <c r="D48">
        <v>17</v>
      </c>
      <c r="E48">
        <v>27</v>
      </c>
      <c r="F48">
        <v>7</v>
      </c>
      <c r="G48">
        <v>19</v>
      </c>
      <c r="H48">
        <v>6</v>
      </c>
      <c r="I48">
        <v>27</v>
      </c>
      <c r="J48">
        <v>3</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45</v>
      </c>
      <c r="D49">
        <v>18</v>
      </c>
      <c r="E49">
        <v>47</v>
      </c>
      <c r="F49">
        <v>18</v>
      </c>
      <c r="G49">
        <v>34</v>
      </c>
      <c r="H49">
        <v>10</v>
      </c>
      <c r="I49">
        <v>20</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19</v>
      </c>
      <c r="D50">
        <v>9</v>
      </c>
      <c r="E50">
        <v>22</v>
      </c>
      <c r="F50">
        <v>9</v>
      </c>
      <c r="G50">
        <v>19</v>
      </c>
      <c r="H50">
        <v>7</v>
      </c>
      <c r="I50">
        <v>25</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18</v>
      </c>
      <c r="D51">
        <v>5</v>
      </c>
      <c r="E51">
        <v>19</v>
      </c>
      <c r="F51">
        <v>5</v>
      </c>
      <c r="G51">
        <v>20</v>
      </c>
      <c r="H51">
        <v>4</v>
      </c>
      <c r="I51">
        <v>24</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42</v>
      </c>
      <c r="D52">
        <v>12</v>
      </c>
      <c r="E52">
        <v>36</v>
      </c>
      <c r="F52">
        <v>17</v>
      </c>
      <c r="G52">
        <v>29</v>
      </c>
      <c r="H52">
        <v>11</v>
      </c>
      <c r="I52">
        <v>27</v>
      </c>
      <c r="J52">
        <v>4</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16</v>
      </c>
      <c r="D53">
        <v>12</v>
      </c>
      <c r="E53">
        <v>14</v>
      </c>
      <c r="F53">
        <v>9</v>
      </c>
      <c r="G53">
        <v>13</v>
      </c>
      <c r="H53">
        <v>10</v>
      </c>
      <c r="I53">
        <v>14</v>
      </c>
      <c r="J53">
        <v>3</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72</v>
      </c>
      <c r="D54">
        <v>18</v>
      </c>
      <c r="E54">
        <v>62</v>
      </c>
      <c r="F54">
        <v>26</v>
      </c>
      <c r="G54">
        <v>23</v>
      </c>
      <c r="H54">
        <v>13</v>
      </c>
      <c r="I54">
        <v>25</v>
      </c>
      <c r="J54">
        <v>5</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21</v>
      </c>
      <c r="D55">
        <v>9</v>
      </c>
      <c r="E55">
        <v>12</v>
      </c>
      <c r="F55">
        <v>5</v>
      </c>
      <c r="G55">
        <v>13</v>
      </c>
      <c r="H55">
        <v>3</v>
      </c>
      <c r="I55">
        <v>9</v>
      </c>
      <c r="J55">
        <v>2</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19</v>
      </c>
      <c r="D56">
        <v>6</v>
      </c>
      <c r="E56">
        <v>17</v>
      </c>
      <c r="F56">
        <v>4</v>
      </c>
      <c r="G56">
        <v>21</v>
      </c>
      <c r="H56">
        <v>7</v>
      </c>
      <c r="I56">
        <v>16</v>
      </c>
      <c r="J56">
        <v>2</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14</v>
      </c>
      <c r="D57">
        <v>4</v>
      </c>
      <c r="E57">
        <v>13</v>
      </c>
      <c r="F57">
        <v>4</v>
      </c>
      <c r="G57">
        <v>15</v>
      </c>
      <c r="H57">
        <v>3</v>
      </c>
      <c r="I57">
        <v>20</v>
      </c>
      <c r="J57">
        <v>2</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27</v>
      </c>
      <c r="D58">
        <v>16</v>
      </c>
      <c r="E58">
        <v>16</v>
      </c>
      <c r="F58">
        <v>15</v>
      </c>
      <c r="G58">
        <v>14</v>
      </c>
      <c r="H58">
        <v>10</v>
      </c>
      <c r="I58">
        <v>22</v>
      </c>
      <c r="J58">
        <v>3</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21</v>
      </c>
      <c r="D59">
        <v>10</v>
      </c>
      <c r="E59">
        <v>20</v>
      </c>
      <c r="F59">
        <v>9</v>
      </c>
      <c r="G59">
        <v>17</v>
      </c>
      <c r="H59">
        <v>5</v>
      </c>
      <c r="I59">
        <v>20</v>
      </c>
      <c r="J59">
        <v>2</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20</v>
      </c>
      <c r="D60">
        <v>8</v>
      </c>
      <c r="E60">
        <v>14</v>
      </c>
      <c r="F60">
        <v>13</v>
      </c>
      <c r="G60">
        <v>13</v>
      </c>
      <c r="H60">
        <v>6</v>
      </c>
      <c r="I60">
        <v>13</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26</v>
      </c>
      <c r="D61">
        <v>6</v>
      </c>
      <c r="E61">
        <v>17</v>
      </c>
      <c r="F61">
        <v>4</v>
      </c>
      <c r="G61">
        <v>13</v>
      </c>
      <c r="H61">
        <v>5</v>
      </c>
      <c r="I61">
        <v>14</v>
      </c>
      <c r="J61">
        <v>2</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23</v>
      </c>
      <c r="D62">
        <v>2</v>
      </c>
      <c r="E62">
        <v>16</v>
      </c>
      <c r="F62">
        <v>4</v>
      </c>
      <c r="G62">
        <v>16</v>
      </c>
      <c r="H62">
        <v>12</v>
      </c>
      <c r="I62">
        <v>25</v>
      </c>
      <c r="J62">
        <v>1</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14</v>
      </c>
      <c r="D63">
        <v>2</v>
      </c>
      <c r="E63">
        <v>10</v>
      </c>
      <c r="F63">
        <v>2</v>
      </c>
      <c r="G63">
        <v>10</v>
      </c>
      <c r="H63">
        <v>3</v>
      </c>
      <c r="I63">
        <v>14</v>
      </c>
      <c r="J63">
        <v>2</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19</v>
      </c>
      <c r="D64">
        <v>7</v>
      </c>
      <c r="E64">
        <v>15</v>
      </c>
      <c r="F64">
        <v>6</v>
      </c>
      <c r="G64">
        <v>14</v>
      </c>
      <c r="H64">
        <v>7</v>
      </c>
      <c r="I64">
        <v>13</v>
      </c>
      <c r="J64">
        <v>3</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30</v>
      </c>
      <c r="D65">
        <v>12</v>
      </c>
      <c r="E65">
        <v>16</v>
      </c>
      <c r="F65">
        <v>7</v>
      </c>
      <c r="G65">
        <v>15</v>
      </c>
      <c r="H65">
        <v>5</v>
      </c>
      <c r="I65">
        <v>15</v>
      </c>
      <c r="J65">
        <v>2</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31</v>
      </c>
      <c r="D66">
        <v>10</v>
      </c>
      <c r="E66">
        <v>28</v>
      </c>
      <c r="F66">
        <v>11</v>
      </c>
      <c r="G66">
        <v>18</v>
      </c>
      <c r="H66">
        <v>9</v>
      </c>
      <c r="I66">
        <v>13</v>
      </c>
      <c r="J66">
        <v>4</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22</v>
      </c>
      <c r="D67">
        <v>9</v>
      </c>
      <c r="E67">
        <v>37</v>
      </c>
      <c r="F67">
        <v>11</v>
      </c>
      <c r="G67">
        <v>22</v>
      </c>
      <c r="H67">
        <v>15</v>
      </c>
      <c r="I67">
        <v>18</v>
      </c>
      <c r="J67">
        <v>4</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48</v>
      </c>
      <c r="D68">
        <v>7</v>
      </c>
      <c r="E68">
        <v>37</v>
      </c>
      <c r="F68">
        <v>8</v>
      </c>
      <c r="G68">
        <v>34</v>
      </c>
      <c r="H68">
        <v>9</v>
      </c>
      <c r="I68">
        <v>34</v>
      </c>
      <c r="J68">
        <v>4</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896</v>
      </c>
      <c r="B69" s="134"/>
      <c r="C69">
        <v>19.56088560885609</v>
      </c>
      <c r="D69">
        <v>9.6377733598409545</v>
      </c>
      <c r="E69">
        <v>17</v>
      </c>
      <c r="F69">
        <v>7</v>
      </c>
      <c r="G69">
        <v>21</v>
      </c>
      <c r="H69">
        <v>7</v>
      </c>
      <c r="I69">
        <v>25</v>
      </c>
      <c r="J69">
        <v>3</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27</v>
      </c>
      <c r="D70">
        <v>12</v>
      </c>
      <c r="E70">
        <v>22</v>
      </c>
      <c r="F70">
        <v>17</v>
      </c>
      <c r="G70">
        <v>18</v>
      </c>
      <c r="H70">
        <v>6</v>
      </c>
      <c r="I70">
        <v>15</v>
      </c>
      <c r="J70">
        <v>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25</v>
      </c>
      <c r="D71">
        <v>4</v>
      </c>
      <c r="E71">
        <v>19</v>
      </c>
      <c r="F71">
        <v>4</v>
      </c>
      <c r="G71">
        <v>18</v>
      </c>
      <c r="H71">
        <v>3</v>
      </c>
      <c r="I71">
        <v>19</v>
      </c>
      <c r="J71">
        <v>1</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29</v>
      </c>
      <c r="D72">
        <v>12</v>
      </c>
      <c r="E72">
        <v>24</v>
      </c>
      <c r="F72">
        <v>16</v>
      </c>
      <c r="G72">
        <v>24</v>
      </c>
      <c r="H72">
        <v>10</v>
      </c>
      <c r="I72">
        <v>29</v>
      </c>
      <c r="J72">
        <v>6</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29</v>
      </c>
      <c r="D73">
        <v>9</v>
      </c>
      <c r="E73">
        <v>24</v>
      </c>
      <c r="F73">
        <v>12</v>
      </c>
      <c r="G73">
        <v>23</v>
      </c>
      <c r="H73">
        <v>9</v>
      </c>
      <c r="I73">
        <v>26</v>
      </c>
      <c r="J73">
        <v>4</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11</v>
      </c>
      <c r="D74">
        <v>2</v>
      </c>
      <c r="E74">
        <v>13</v>
      </c>
      <c r="F74">
        <v>3</v>
      </c>
      <c r="G74">
        <v>11</v>
      </c>
      <c r="H74">
        <v>2</v>
      </c>
      <c r="I74">
        <v>13</v>
      </c>
      <c r="J74">
        <v>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12</v>
      </c>
      <c r="D75">
        <v>13</v>
      </c>
      <c r="E75">
        <v>12</v>
      </c>
      <c r="F75">
        <v>7</v>
      </c>
      <c r="G75">
        <v>11</v>
      </c>
      <c r="H75">
        <v>4</v>
      </c>
      <c r="I75">
        <v>14</v>
      </c>
      <c r="J75">
        <v>1</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32</v>
      </c>
      <c r="D76">
        <v>9</v>
      </c>
      <c r="E76">
        <v>26</v>
      </c>
      <c r="F76">
        <v>8</v>
      </c>
      <c r="G76">
        <v>24</v>
      </c>
      <c r="H76">
        <v>9</v>
      </c>
      <c r="I76">
        <v>20</v>
      </c>
      <c r="J76">
        <v>3</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20</v>
      </c>
      <c r="D77">
        <v>9</v>
      </c>
      <c r="E77">
        <v>18</v>
      </c>
      <c r="F77">
        <v>8</v>
      </c>
      <c r="G77">
        <v>14</v>
      </c>
      <c r="H77">
        <v>6</v>
      </c>
      <c r="I77">
        <v>26</v>
      </c>
      <c r="J77">
        <v>4</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25</v>
      </c>
      <c r="D78">
        <v>9</v>
      </c>
      <c r="E78">
        <v>23</v>
      </c>
      <c r="F78">
        <v>12</v>
      </c>
      <c r="G78">
        <v>21</v>
      </c>
      <c r="H78">
        <v>8</v>
      </c>
      <c r="I78">
        <v>27</v>
      </c>
      <c r="J78">
        <v>3</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18</v>
      </c>
      <c r="D79">
        <v>12</v>
      </c>
      <c r="E79">
        <v>16</v>
      </c>
      <c r="F79">
        <v>9</v>
      </c>
      <c r="G79">
        <v>15</v>
      </c>
      <c r="H79">
        <v>7</v>
      </c>
      <c r="I79">
        <v>12</v>
      </c>
      <c r="J79">
        <v>2</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24</v>
      </c>
      <c r="D80">
        <v>6</v>
      </c>
      <c r="E80">
        <v>24</v>
      </c>
      <c r="F80">
        <v>8</v>
      </c>
      <c r="G80">
        <v>22</v>
      </c>
      <c r="H80">
        <v>11</v>
      </c>
      <c r="I80">
        <v>25</v>
      </c>
      <c r="J80">
        <v>3</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22</v>
      </c>
      <c r="D81">
        <v>10</v>
      </c>
      <c r="E81">
        <v>26</v>
      </c>
      <c r="F81">
        <v>8</v>
      </c>
      <c r="G81">
        <v>20</v>
      </c>
      <c r="H81">
        <v>8</v>
      </c>
      <c r="I81">
        <v>24</v>
      </c>
      <c r="J81">
        <v>4</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14</v>
      </c>
      <c r="D82">
        <v>5</v>
      </c>
      <c r="E82">
        <v>10</v>
      </c>
      <c r="F82">
        <v>5</v>
      </c>
      <c r="G82">
        <v>13</v>
      </c>
      <c r="H82">
        <v>7</v>
      </c>
      <c r="I82">
        <v>17</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27</v>
      </c>
      <c r="D83">
        <v>8</v>
      </c>
      <c r="E83">
        <v>24</v>
      </c>
      <c r="F83">
        <v>10</v>
      </c>
      <c r="G83">
        <v>15</v>
      </c>
      <c r="H83">
        <v>9</v>
      </c>
      <c r="I83">
        <v>17</v>
      </c>
      <c r="J83">
        <v>2</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20</v>
      </c>
      <c r="D84">
        <v>6</v>
      </c>
      <c r="E84">
        <v>21</v>
      </c>
      <c r="F84">
        <v>6</v>
      </c>
      <c r="G84">
        <v>20</v>
      </c>
      <c r="H84">
        <v>5</v>
      </c>
      <c r="I84">
        <v>27</v>
      </c>
      <c r="J84">
        <v>3</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40</v>
      </c>
      <c r="D85">
        <v>19</v>
      </c>
      <c r="E85">
        <v>27</v>
      </c>
      <c r="F85">
        <v>14</v>
      </c>
      <c r="G85">
        <v>33</v>
      </c>
      <c r="H85">
        <v>18</v>
      </c>
      <c r="I85">
        <v>39</v>
      </c>
      <c r="J85">
        <v>6</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24</v>
      </c>
      <c r="D86">
        <v>9</v>
      </c>
      <c r="E86">
        <v>19</v>
      </c>
      <c r="F86">
        <v>13</v>
      </c>
      <c r="G86">
        <v>18</v>
      </c>
      <c r="H86">
        <v>6</v>
      </c>
      <c r="I86">
        <v>22</v>
      </c>
      <c r="J86">
        <v>3</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18</v>
      </c>
      <c r="D87">
        <v>3</v>
      </c>
      <c r="E87">
        <v>13</v>
      </c>
      <c r="F87">
        <v>3</v>
      </c>
      <c r="G87">
        <v>10</v>
      </c>
      <c r="H87">
        <v>3</v>
      </c>
      <c r="I87">
        <v>9</v>
      </c>
      <c r="J87">
        <v>2</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891</v>
      </c>
      <c r="B88" s="134"/>
      <c r="C88">
        <v>26</v>
      </c>
      <c r="D88">
        <v>8</v>
      </c>
      <c r="E88">
        <v>26</v>
      </c>
      <c r="F88">
        <v>9</v>
      </c>
      <c r="G88">
        <v>20</v>
      </c>
      <c r="H88">
        <v>8</v>
      </c>
      <c r="I88">
        <v>27</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21</v>
      </c>
      <c r="D89">
        <v>12</v>
      </c>
      <c r="E89">
        <v>16</v>
      </c>
      <c r="F89">
        <v>8</v>
      </c>
      <c r="G89" t="s">
        <v>879</v>
      </c>
      <c r="H89" t="s">
        <v>879</v>
      </c>
      <c r="I89">
        <v>56</v>
      </c>
      <c r="J89">
        <v>10</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11</v>
      </c>
      <c r="D90">
        <v>6</v>
      </c>
      <c r="E90">
        <v>10</v>
      </c>
      <c r="F90">
        <v>7</v>
      </c>
      <c r="G90">
        <v>16</v>
      </c>
      <c r="H90">
        <v>9</v>
      </c>
      <c r="I90">
        <v>14</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v>
      </c>
      <c r="D91">
        <v>4</v>
      </c>
      <c r="E91">
        <v>11</v>
      </c>
      <c r="F91">
        <v>3</v>
      </c>
      <c r="G91">
        <v>10</v>
      </c>
      <c r="H91">
        <v>3</v>
      </c>
      <c r="I91">
        <v>9</v>
      </c>
      <c r="J91">
        <v>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27</v>
      </c>
      <c r="D92">
        <v>7</v>
      </c>
      <c r="E92">
        <v>26</v>
      </c>
      <c r="F92">
        <v>6</v>
      </c>
      <c r="G92">
        <v>22</v>
      </c>
      <c r="H92">
        <v>9</v>
      </c>
      <c r="I92">
        <v>30</v>
      </c>
      <c r="J92">
        <v>4</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17</v>
      </c>
      <c r="D93">
        <v>7</v>
      </c>
      <c r="E93">
        <v>13</v>
      </c>
      <c r="F93">
        <v>6</v>
      </c>
      <c r="G93">
        <v>11</v>
      </c>
      <c r="H93">
        <v>7</v>
      </c>
      <c r="I93">
        <v>11</v>
      </c>
      <c r="J93">
        <v>3</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17</v>
      </c>
      <c r="D94">
        <v>5</v>
      </c>
      <c r="E94">
        <v>14</v>
      </c>
      <c r="F94">
        <v>5</v>
      </c>
      <c r="G94">
        <v>15</v>
      </c>
      <c r="H94">
        <v>5</v>
      </c>
      <c r="I94">
        <v>8</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17</v>
      </c>
      <c r="D95">
        <v>4</v>
      </c>
      <c r="E95">
        <v>11</v>
      </c>
      <c r="F95">
        <v>12</v>
      </c>
      <c r="G95">
        <v>12</v>
      </c>
      <c r="H95">
        <v>5</v>
      </c>
      <c r="I95">
        <v>12</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13</v>
      </c>
      <c r="D96">
        <v>8</v>
      </c>
      <c r="E96">
        <v>14</v>
      </c>
      <c r="F96">
        <v>9</v>
      </c>
      <c r="G96">
        <v>13</v>
      </c>
      <c r="H96">
        <v>10</v>
      </c>
      <c r="I96">
        <v>20</v>
      </c>
      <c r="J96">
        <v>4</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v>
      </c>
      <c r="D97">
        <v>3</v>
      </c>
      <c r="E97">
        <v>10</v>
      </c>
      <c r="F97">
        <v>2</v>
      </c>
      <c r="G97">
        <v>5</v>
      </c>
      <c r="H97">
        <v>2</v>
      </c>
      <c r="I97">
        <v>9</v>
      </c>
      <c r="J97">
        <v>2</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25</v>
      </c>
      <c r="D98">
        <v>9</v>
      </c>
      <c r="E98">
        <v>26</v>
      </c>
      <c r="F98">
        <v>11</v>
      </c>
      <c r="G98">
        <v>18</v>
      </c>
      <c r="H98">
        <v>9</v>
      </c>
      <c r="I98">
        <v>23</v>
      </c>
      <c r="J98">
        <v>3</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887</v>
      </c>
      <c r="B99" s="134"/>
      <c r="C99">
        <v>13</v>
      </c>
      <c r="D99">
        <v>5</v>
      </c>
      <c r="E99">
        <v>11</v>
      </c>
      <c r="F99">
        <v>4</v>
      </c>
      <c r="G99">
        <v>12</v>
      </c>
      <c r="H99">
        <v>3</v>
      </c>
      <c r="I99">
        <v>11</v>
      </c>
      <c r="J99">
        <v>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28</v>
      </c>
      <c r="D100">
        <v>12</v>
      </c>
      <c r="E100">
        <v>20</v>
      </c>
      <c r="F100">
        <v>7</v>
      </c>
      <c r="G100">
        <v>13</v>
      </c>
      <c r="H100">
        <v>5</v>
      </c>
      <c r="I100">
        <v>14</v>
      </c>
      <c r="J100">
        <v>2</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16</v>
      </c>
      <c r="D101">
        <v>7</v>
      </c>
      <c r="E101">
        <v>19</v>
      </c>
      <c r="F101">
        <v>10</v>
      </c>
      <c r="G101">
        <v>20</v>
      </c>
      <c r="H101">
        <v>5</v>
      </c>
      <c r="I101">
        <v>12</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14</v>
      </c>
      <c r="D102">
        <v>13</v>
      </c>
      <c r="E102">
        <v>12</v>
      </c>
      <c r="F102">
        <v>11</v>
      </c>
      <c r="G102">
        <v>13</v>
      </c>
      <c r="H102">
        <v>7</v>
      </c>
      <c r="I102">
        <v>11</v>
      </c>
      <c r="J102">
        <v>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19</v>
      </c>
      <c r="D103">
        <v>8</v>
      </c>
      <c r="E103">
        <v>15</v>
      </c>
      <c r="F103">
        <v>4</v>
      </c>
      <c r="G103">
        <v>12</v>
      </c>
      <c r="H103">
        <v>4</v>
      </c>
      <c r="I103">
        <v>13</v>
      </c>
      <c r="J103">
        <v>2</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t="s">
        <v>879</v>
      </c>
      <c r="D104" t="s">
        <v>879</v>
      </c>
      <c r="E104">
        <v>23</v>
      </c>
      <c r="F104">
        <v>8</v>
      </c>
      <c r="G104">
        <v>16</v>
      </c>
      <c r="H104">
        <v>4</v>
      </c>
      <c r="I104">
        <v>13</v>
      </c>
      <c r="J104">
        <v>3</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16</v>
      </c>
      <c r="D105">
        <v>12</v>
      </c>
      <c r="E105">
        <v>14</v>
      </c>
      <c r="F105">
        <v>18</v>
      </c>
      <c r="G105">
        <v>12</v>
      </c>
      <c r="H105">
        <v>12</v>
      </c>
      <c r="I105">
        <v>11</v>
      </c>
      <c r="J105">
        <v>5</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18</v>
      </c>
      <c r="D106">
        <v>4</v>
      </c>
      <c r="E106">
        <v>15</v>
      </c>
      <c r="F106">
        <v>4</v>
      </c>
      <c r="G106">
        <v>13</v>
      </c>
      <c r="H106">
        <v>2</v>
      </c>
      <c r="I106">
        <v>15</v>
      </c>
      <c r="J106">
        <v>2</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8" t="s">
        <v>76</v>
      </c>
      <c r="B107" s="229"/>
      <c r="C107">
        <v>14</v>
      </c>
      <c r="D107">
        <v>9</v>
      </c>
      <c r="E107">
        <v>16</v>
      </c>
      <c r="F107">
        <v>10</v>
      </c>
      <c r="G107">
        <v>8</v>
      </c>
      <c r="H107">
        <v>7</v>
      </c>
      <c r="I107">
        <v>10</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22</v>
      </c>
      <c r="D108">
        <v>8</v>
      </c>
      <c r="E108">
        <v>21</v>
      </c>
      <c r="F108">
        <v>11</v>
      </c>
      <c r="G108">
        <v>20</v>
      </c>
      <c r="H108">
        <v>11</v>
      </c>
      <c r="I108">
        <v>21</v>
      </c>
      <c r="J108">
        <v>4</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19</v>
      </c>
      <c r="D109">
        <v>9</v>
      </c>
      <c r="E109">
        <v>16</v>
      </c>
      <c r="F109">
        <v>7</v>
      </c>
      <c r="G109">
        <v>21</v>
      </c>
      <c r="H109">
        <v>8</v>
      </c>
      <c r="I109">
        <v>23</v>
      </c>
      <c r="J109">
        <v>3</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11</v>
      </c>
      <c r="D110">
        <v>13</v>
      </c>
      <c r="E110">
        <v>11</v>
      </c>
      <c r="F110">
        <v>14</v>
      </c>
      <c r="G110">
        <v>10</v>
      </c>
      <c r="H110">
        <v>13</v>
      </c>
      <c r="I110">
        <v>12</v>
      </c>
      <c r="J110">
        <v>7</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30</v>
      </c>
      <c r="D111">
        <v>7</v>
      </c>
      <c r="E111">
        <v>25</v>
      </c>
      <c r="F111">
        <v>9</v>
      </c>
      <c r="G111">
        <v>19</v>
      </c>
      <c r="H111">
        <v>4</v>
      </c>
      <c r="I111">
        <v>17</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v>
      </c>
      <c r="D112">
        <v>9</v>
      </c>
      <c r="E112">
        <v>23</v>
      </c>
      <c r="F112">
        <v>17</v>
      </c>
      <c r="G112">
        <v>21</v>
      </c>
      <c r="H112">
        <v>18</v>
      </c>
      <c r="I112">
        <v>19</v>
      </c>
      <c r="J112">
        <v>9</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24</v>
      </c>
      <c r="D113">
        <v>9</v>
      </c>
      <c r="E113">
        <v>19</v>
      </c>
      <c r="F113">
        <v>7</v>
      </c>
      <c r="G113">
        <v>21</v>
      </c>
      <c r="H113">
        <v>7</v>
      </c>
      <c r="I113">
        <v>22</v>
      </c>
      <c r="J113">
        <v>2</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26</v>
      </c>
      <c r="D114">
        <v>10</v>
      </c>
      <c r="E114">
        <v>26</v>
      </c>
      <c r="F114">
        <v>12</v>
      </c>
      <c r="G114">
        <v>25</v>
      </c>
      <c r="H114">
        <v>10</v>
      </c>
      <c r="I114">
        <v>26</v>
      </c>
      <c r="J114">
        <v>5</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26</v>
      </c>
      <c r="D115">
        <v>11</v>
      </c>
      <c r="E115">
        <v>28</v>
      </c>
      <c r="F115">
        <v>15</v>
      </c>
      <c r="G115">
        <v>20</v>
      </c>
      <c r="H115">
        <v>9</v>
      </c>
      <c r="I115">
        <v>25</v>
      </c>
      <c r="J115">
        <v>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22</v>
      </c>
      <c r="D116">
        <v>6</v>
      </c>
      <c r="E116">
        <v>23</v>
      </c>
      <c r="F116">
        <v>10</v>
      </c>
      <c r="G116">
        <v>21</v>
      </c>
      <c r="H116">
        <v>9</v>
      </c>
      <c r="I116">
        <v>19</v>
      </c>
      <c r="J116">
        <v>4</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15</v>
      </c>
      <c r="D117">
        <v>10</v>
      </c>
      <c r="E117">
        <v>12</v>
      </c>
      <c r="F117">
        <v>4</v>
      </c>
      <c r="G117">
        <v>11</v>
      </c>
      <c r="H117">
        <v>4</v>
      </c>
      <c r="I117">
        <v>13</v>
      </c>
      <c r="J117">
        <v>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19</v>
      </c>
      <c r="D118">
        <v>6</v>
      </c>
      <c r="E118">
        <v>27</v>
      </c>
      <c r="F118">
        <v>7</v>
      </c>
      <c r="G118">
        <v>25</v>
      </c>
      <c r="H118">
        <v>7</v>
      </c>
      <c r="I118">
        <v>28</v>
      </c>
      <c r="J118">
        <v>3</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18</v>
      </c>
      <c r="D119">
        <v>6</v>
      </c>
      <c r="E119">
        <v>16</v>
      </c>
      <c r="F119">
        <v>8</v>
      </c>
      <c r="G119">
        <v>15</v>
      </c>
      <c r="H119">
        <v>5</v>
      </c>
      <c r="I119">
        <v>18</v>
      </c>
      <c r="J119">
        <v>3</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13</v>
      </c>
      <c r="D120">
        <v>5</v>
      </c>
      <c r="E120">
        <v>11</v>
      </c>
      <c r="F120">
        <v>5</v>
      </c>
      <c r="G120">
        <v>12</v>
      </c>
      <c r="H120">
        <v>7</v>
      </c>
      <c r="I120">
        <v>15</v>
      </c>
      <c r="J120">
        <v>4</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31</v>
      </c>
      <c r="D121">
        <v>6</v>
      </c>
      <c r="E121">
        <v>21</v>
      </c>
      <c r="F121">
        <v>5</v>
      </c>
      <c r="G121">
        <v>16</v>
      </c>
      <c r="H121">
        <v>4</v>
      </c>
      <c r="I121">
        <v>17</v>
      </c>
      <c r="J121">
        <v>6</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29</v>
      </c>
      <c r="D122">
        <v>16</v>
      </c>
      <c r="E122">
        <v>19</v>
      </c>
      <c r="F122">
        <v>8</v>
      </c>
      <c r="G122">
        <v>19</v>
      </c>
      <c r="H122">
        <v>8</v>
      </c>
      <c r="I122">
        <v>18</v>
      </c>
      <c r="J122">
        <v>4</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33</v>
      </c>
      <c r="D123">
        <v>10</v>
      </c>
      <c r="E123">
        <v>29</v>
      </c>
      <c r="F123">
        <v>19</v>
      </c>
      <c r="G123">
        <v>20</v>
      </c>
      <c r="H123">
        <v>7</v>
      </c>
      <c r="I123">
        <v>27</v>
      </c>
      <c r="J123">
        <v>4</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v>
      </c>
      <c r="D124">
        <v>8</v>
      </c>
      <c r="E124">
        <v>6</v>
      </c>
      <c r="F124">
        <v>9</v>
      </c>
      <c r="G124">
        <v>10</v>
      </c>
      <c r="H124">
        <v>11</v>
      </c>
      <c r="I124">
        <v>10</v>
      </c>
      <c r="J124">
        <v>5</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28</v>
      </c>
      <c r="D125">
        <v>5</v>
      </c>
      <c r="E125">
        <v>23</v>
      </c>
      <c r="F125">
        <v>6</v>
      </c>
      <c r="G125">
        <v>20</v>
      </c>
      <c r="H125">
        <v>7</v>
      </c>
      <c r="I125">
        <v>25</v>
      </c>
      <c r="J125">
        <v>3</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23</v>
      </c>
      <c r="D126">
        <v>9</v>
      </c>
      <c r="E126">
        <v>14</v>
      </c>
      <c r="F126">
        <v>6</v>
      </c>
      <c r="G126">
        <v>17</v>
      </c>
      <c r="H126">
        <v>7</v>
      </c>
      <c r="I126">
        <v>16</v>
      </c>
      <c r="J126">
        <v>2</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31</v>
      </c>
      <c r="D127">
        <v>8</v>
      </c>
      <c r="E127">
        <v>20</v>
      </c>
      <c r="F127">
        <v>6</v>
      </c>
      <c r="G127">
        <v>19</v>
      </c>
      <c r="H127">
        <v>7</v>
      </c>
      <c r="I127">
        <v>21</v>
      </c>
      <c r="J127">
        <v>3</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v>
      </c>
      <c r="D128">
        <v>4</v>
      </c>
      <c r="E128">
        <v>8</v>
      </c>
      <c r="F128">
        <v>4</v>
      </c>
      <c r="G128">
        <v>8</v>
      </c>
      <c r="H128">
        <v>4</v>
      </c>
      <c r="I128">
        <v>7</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24</v>
      </c>
      <c r="D129">
        <v>7</v>
      </c>
      <c r="E129">
        <v>18</v>
      </c>
      <c r="F129">
        <v>3</v>
      </c>
      <c r="G129">
        <v>23</v>
      </c>
      <c r="H129">
        <v>6</v>
      </c>
      <c r="I129">
        <v>21</v>
      </c>
      <c r="J129">
        <v>2</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23</v>
      </c>
      <c r="D130">
        <v>7</v>
      </c>
      <c r="E130">
        <v>25</v>
      </c>
      <c r="F130">
        <v>6</v>
      </c>
      <c r="G130">
        <v>24</v>
      </c>
      <c r="H130">
        <v>6</v>
      </c>
      <c r="I130">
        <v>35</v>
      </c>
      <c r="J130">
        <v>2</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19</v>
      </c>
      <c r="D131">
        <v>4</v>
      </c>
      <c r="E131">
        <v>16</v>
      </c>
      <c r="F131">
        <v>4</v>
      </c>
      <c r="G131">
        <v>15</v>
      </c>
      <c r="H131">
        <v>3</v>
      </c>
      <c r="I131">
        <v>17</v>
      </c>
      <c r="J131">
        <v>2</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11</v>
      </c>
      <c r="D132">
        <v>6</v>
      </c>
      <c r="E132">
        <v>12</v>
      </c>
      <c r="F132">
        <v>8</v>
      </c>
      <c r="G132">
        <v>14</v>
      </c>
      <c r="H132">
        <v>6</v>
      </c>
      <c r="I132">
        <v>13</v>
      </c>
      <c r="J132">
        <v>2</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t="e">
        <v>#N/A</v>
      </c>
      <c r="D133" t="e">
        <v>#N/A</v>
      </c>
      <c r="E133" t="e">
        <v>#N/A</v>
      </c>
      <c r="F133" t="e">
        <v>#N/A</v>
      </c>
      <c r="G133" t="e">
        <v>#N/A</v>
      </c>
      <c r="H133" t="e">
        <v>#N/A</v>
      </c>
      <c r="I133" t="e">
        <v>#N/A</v>
      </c>
      <c r="J133" t="e">
        <v>#N/A</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22</v>
      </c>
      <c r="D134">
        <v>3</v>
      </c>
      <c r="E134">
        <v>21</v>
      </c>
      <c r="F134">
        <v>3</v>
      </c>
      <c r="G134">
        <v>21</v>
      </c>
      <c r="H134">
        <v>4</v>
      </c>
      <c r="I134">
        <v>22</v>
      </c>
      <c r="J134">
        <v>2</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15</v>
      </c>
      <c r="D135">
        <v>9</v>
      </c>
      <c r="E135">
        <v>14</v>
      </c>
      <c r="F135">
        <v>9</v>
      </c>
      <c r="G135">
        <v>15</v>
      </c>
      <c r="H135">
        <v>7</v>
      </c>
      <c r="I135">
        <v>13</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15</v>
      </c>
      <c r="D136">
        <v>7</v>
      </c>
      <c r="E136">
        <v>8</v>
      </c>
      <c r="F136">
        <v>9</v>
      </c>
      <c r="G136">
        <v>12</v>
      </c>
      <c r="H136">
        <v>5</v>
      </c>
      <c r="I136">
        <v>9</v>
      </c>
      <c r="J136">
        <v>3</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23</v>
      </c>
      <c r="D137">
        <v>14</v>
      </c>
      <c r="E137">
        <v>19</v>
      </c>
      <c r="F137">
        <v>10</v>
      </c>
      <c r="G137">
        <v>19</v>
      </c>
      <c r="H137">
        <v>7</v>
      </c>
      <c r="I137">
        <v>26</v>
      </c>
      <c r="J137">
        <v>3</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24</v>
      </c>
      <c r="D138">
        <v>6</v>
      </c>
      <c r="E138">
        <v>20</v>
      </c>
      <c r="F138">
        <v>7</v>
      </c>
      <c r="G138">
        <v>20</v>
      </c>
      <c r="H138">
        <v>6</v>
      </c>
      <c r="I138">
        <v>21</v>
      </c>
      <c r="J138">
        <v>3</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31</v>
      </c>
      <c r="D139">
        <v>7</v>
      </c>
      <c r="E139">
        <v>26</v>
      </c>
      <c r="F139">
        <v>10</v>
      </c>
      <c r="G139">
        <v>25</v>
      </c>
      <c r="H139">
        <v>5</v>
      </c>
      <c r="I139">
        <v>25</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17</v>
      </c>
      <c r="D140">
        <v>8</v>
      </c>
      <c r="E140">
        <v>20</v>
      </c>
      <c r="F140">
        <v>6</v>
      </c>
      <c r="G140">
        <v>19</v>
      </c>
      <c r="H140">
        <v>4</v>
      </c>
      <c r="I140">
        <v>20</v>
      </c>
      <c r="J140">
        <v>2</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20</v>
      </c>
      <c r="D141">
        <v>7</v>
      </c>
      <c r="E141">
        <v>19</v>
      </c>
      <c r="F141">
        <v>8</v>
      </c>
      <c r="G141">
        <v>19</v>
      </c>
      <c r="H141">
        <v>8</v>
      </c>
      <c r="I141">
        <v>20</v>
      </c>
      <c r="J141">
        <v>3</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28</v>
      </c>
      <c r="D142">
        <v>10</v>
      </c>
      <c r="E142">
        <v>27</v>
      </c>
      <c r="F142">
        <v>12</v>
      </c>
      <c r="G142">
        <v>17</v>
      </c>
      <c r="H142">
        <v>7</v>
      </c>
      <c r="I142">
        <v>11</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14</v>
      </c>
      <c r="D143">
        <v>8</v>
      </c>
      <c r="E143">
        <v>14</v>
      </c>
      <c r="F143">
        <v>10</v>
      </c>
      <c r="G143">
        <v>14</v>
      </c>
      <c r="H143">
        <v>10</v>
      </c>
      <c r="I143">
        <v>17</v>
      </c>
      <c r="J143">
        <v>3</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17</v>
      </c>
      <c r="D144">
        <v>8</v>
      </c>
      <c r="E144">
        <v>17</v>
      </c>
      <c r="F144">
        <v>8</v>
      </c>
      <c r="G144">
        <v>18</v>
      </c>
      <c r="H144">
        <v>9</v>
      </c>
      <c r="I144">
        <v>20</v>
      </c>
      <c r="J144">
        <v>12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37</v>
      </c>
      <c r="D145">
        <v>11</v>
      </c>
      <c r="E145">
        <v>18</v>
      </c>
      <c r="F145">
        <v>8</v>
      </c>
      <c r="G145" t="s">
        <v>879</v>
      </c>
      <c r="H145" t="s">
        <v>879</v>
      </c>
      <c r="I145">
        <v>69</v>
      </c>
      <c r="J145">
        <v>6</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15</v>
      </c>
      <c r="D146">
        <v>4</v>
      </c>
      <c r="E146">
        <v>12</v>
      </c>
      <c r="F146">
        <v>4</v>
      </c>
      <c r="G146">
        <v>12</v>
      </c>
      <c r="H146">
        <v>6</v>
      </c>
      <c r="I146">
        <v>13</v>
      </c>
      <c r="J146">
        <v>5</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28</v>
      </c>
      <c r="D147">
        <v>6</v>
      </c>
      <c r="E147">
        <v>38</v>
      </c>
      <c r="F147">
        <v>6</v>
      </c>
      <c r="G147">
        <v>27</v>
      </c>
      <c r="H147">
        <v>8</v>
      </c>
      <c r="I147">
        <v>19</v>
      </c>
      <c r="J147">
        <v>2</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16</v>
      </c>
      <c r="D148">
        <v>6</v>
      </c>
      <c r="E148">
        <v>16</v>
      </c>
      <c r="F148">
        <v>7</v>
      </c>
      <c r="G148">
        <v>12</v>
      </c>
      <c r="H148">
        <v>4</v>
      </c>
      <c r="I148">
        <v>10</v>
      </c>
      <c r="J148">
        <v>2</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30</v>
      </c>
      <c r="D149">
        <v>16</v>
      </c>
      <c r="E149">
        <v>24</v>
      </c>
      <c r="F149">
        <v>22</v>
      </c>
      <c r="G149">
        <v>29</v>
      </c>
      <c r="H149">
        <v>13</v>
      </c>
      <c r="I149">
        <v>25</v>
      </c>
      <c r="J149">
        <v>14</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e">
        <v>#N/A</v>
      </c>
      <c r="D150" t="e">
        <v>#N/A</v>
      </c>
      <c r="E150" t="e">
        <v>#N/A</v>
      </c>
      <c r="F150" t="e">
        <v>#N/A</v>
      </c>
      <c r="G150" t="e">
        <v>#N/A</v>
      </c>
      <c r="H150" t="e">
        <v>#N/A</v>
      </c>
      <c r="I150" t="e">
        <v>#N/A</v>
      </c>
      <c r="J150" t="e">
        <v>#N/A</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24</v>
      </c>
      <c r="D151">
        <v>8</v>
      </c>
      <c r="E151">
        <v>22</v>
      </c>
      <c r="F151">
        <v>9</v>
      </c>
      <c r="G151">
        <v>13</v>
      </c>
      <c r="H151">
        <v>8</v>
      </c>
      <c r="I151">
        <v>15</v>
      </c>
      <c r="J151">
        <v>4</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v>
      </c>
      <c r="D152">
        <v>6</v>
      </c>
      <c r="E152">
        <v>15</v>
      </c>
      <c r="F152">
        <v>7</v>
      </c>
      <c r="G152">
        <v>15</v>
      </c>
      <c r="H152">
        <v>6</v>
      </c>
      <c r="I152">
        <v>15</v>
      </c>
      <c r="J152">
        <v>2</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22</v>
      </c>
      <c r="D153">
        <v>9</v>
      </c>
      <c r="E153">
        <v>22</v>
      </c>
      <c r="F153">
        <v>6</v>
      </c>
      <c r="G153">
        <v>18</v>
      </c>
      <c r="H153">
        <v>6</v>
      </c>
      <c r="I153">
        <v>11</v>
      </c>
      <c r="J153">
        <v>3</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23</v>
      </c>
      <c r="D154">
        <v>19</v>
      </c>
      <c r="E154">
        <v>15</v>
      </c>
      <c r="F154">
        <v>14</v>
      </c>
      <c r="G154">
        <v>10</v>
      </c>
      <c r="H154">
        <v>9</v>
      </c>
      <c r="I154">
        <v>12</v>
      </c>
      <c r="J154">
        <v>4</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26</v>
      </c>
      <c r="D155">
        <v>9</v>
      </c>
      <c r="E155">
        <v>25</v>
      </c>
      <c r="F155">
        <v>11</v>
      </c>
      <c r="G155">
        <v>26</v>
      </c>
      <c r="H155">
        <v>11</v>
      </c>
      <c r="I155">
        <v>30</v>
      </c>
      <c r="J155">
        <v>4</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16</v>
      </c>
      <c r="D156">
        <v>8</v>
      </c>
      <c r="E156">
        <v>14</v>
      </c>
      <c r="F156">
        <v>9</v>
      </c>
      <c r="G156">
        <v>18</v>
      </c>
      <c r="H156">
        <v>7</v>
      </c>
      <c r="I156">
        <v>27</v>
      </c>
      <c r="J156">
        <v>3</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38</v>
      </c>
      <c r="D157">
        <v>12</v>
      </c>
      <c r="E157">
        <v>36</v>
      </c>
      <c r="F157">
        <v>18</v>
      </c>
      <c r="G157">
        <v>27</v>
      </c>
      <c r="H157">
        <v>15</v>
      </c>
      <c r="I157">
        <v>29</v>
      </c>
      <c r="J157">
        <v>5</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22</v>
      </c>
      <c r="D158">
        <v>4</v>
      </c>
      <c r="E158">
        <v>16</v>
      </c>
      <c r="F158">
        <v>2</v>
      </c>
      <c r="G158">
        <v>13</v>
      </c>
      <c r="H158">
        <v>1</v>
      </c>
      <c r="I158">
        <v>8</v>
      </c>
      <c r="J158">
        <v>1</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32</v>
      </c>
      <c r="D159">
        <v>18</v>
      </c>
      <c r="E159">
        <v>47</v>
      </c>
      <c r="F159">
        <v>12</v>
      </c>
      <c r="G159">
        <v>32</v>
      </c>
      <c r="H159">
        <v>9</v>
      </c>
      <c r="I159">
        <v>25</v>
      </c>
      <c r="J159">
        <v>5</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18</v>
      </c>
      <c r="D160">
        <v>3</v>
      </c>
      <c r="E160">
        <v>15</v>
      </c>
      <c r="F160">
        <v>5</v>
      </c>
      <c r="G160">
        <v>17</v>
      </c>
      <c r="H160">
        <v>2</v>
      </c>
      <c r="I160">
        <v>11</v>
      </c>
      <c r="J160">
        <v>2</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18</v>
      </c>
      <c r="D161">
        <v>4</v>
      </c>
      <c r="E161">
        <v>17</v>
      </c>
      <c r="F161">
        <v>4</v>
      </c>
      <c r="G161">
        <v>15</v>
      </c>
      <c r="H161">
        <v>3</v>
      </c>
      <c r="I161">
        <v>19</v>
      </c>
      <c r="J161">
        <v>2</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18</v>
      </c>
      <c r="D162">
        <v>13</v>
      </c>
      <c r="E162">
        <v>18</v>
      </c>
      <c r="F162">
        <v>10</v>
      </c>
      <c r="G162">
        <v>18</v>
      </c>
      <c r="H162">
        <v>8</v>
      </c>
      <c r="I162">
        <v>18</v>
      </c>
      <c r="J162">
        <v>4</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28</v>
      </c>
      <c r="D163">
        <v>5</v>
      </c>
      <c r="E163">
        <v>17</v>
      </c>
      <c r="F163">
        <v>6</v>
      </c>
      <c r="G163">
        <v>23</v>
      </c>
      <c r="H163">
        <v>6</v>
      </c>
      <c r="I163">
        <v>15</v>
      </c>
      <c r="J163">
        <v>2</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16</v>
      </c>
      <c r="D164">
        <v>6</v>
      </c>
      <c r="E164">
        <v>18</v>
      </c>
      <c r="F164">
        <v>7</v>
      </c>
      <c r="G164">
        <v>16</v>
      </c>
      <c r="H164">
        <v>8</v>
      </c>
      <c r="I164">
        <v>15</v>
      </c>
      <c r="J164">
        <v>2</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23</v>
      </c>
      <c r="D165">
        <v>5</v>
      </c>
      <c r="E165">
        <v>12</v>
      </c>
      <c r="F165">
        <v>4</v>
      </c>
      <c r="G165">
        <v>11</v>
      </c>
      <c r="H165">
        <v>4</v>
      </c>
      <c r="I165">
        <v>11</v>
      </c>
      <c r="J165">
        <v>2</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11</v>
      </c>
      <c r="D166">
        <v>4</v>
      </c>
      <c r="E166">
        <v>14</v>
      </c>
      <c r="F166">
        <v>3</v>
      </c>
      <c r="G166">
        <v>13</v>
      </c>
      <c r="H166">
        <v>3</v>
      </c>
      <c r="I166">
        <v>11</v>
      </c>
      <c r="J166">
        <v>2</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13</v>
      </c>
      <c r="D167">
        <v>4</v>
      </c>
      <c r="E167">
        <v>15</v>
      </c>
      <c r="F167">
        <v>4</v>
      </c>
      <c r="G167">
        <v>16</v>
      </c>
      <c r="H167">
        <v>3</v>
      </c>
      <c r="I167">
        <v>17</v>
      </c>
      <c r="J167">
        <v>1</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15</v>
      </c>
      <c r="D168">
        <v>7</v>
      </c>
      <c r="E168">
        <v>13</v>
      </c>
      <c r="F168">
        <v>4</v>
      </c>
      <c r="G168">
        <v>12</v>
      </c>
      <c r="H168">
        <v>4</v>
      </c>
      <c r="I168">
        <v>15</v>
      </c>
      <c r="J168">
        <v>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12</v>
      </c>
      <c r="D169">
        <v>4</v>
      </c>
      <c r="E169">
        <v>9</v>
      </c>
      <c r="F169">
        <v>4</v>
      </c>
      <c r="G169">
        <v>12</v>
      </c>
      <c r="H169">
        <v>2</v>
      </c>
      <c r="I169">
        <v>14</v>
      </c>
      <c r="J169">
        <v>2</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42</v>
      </c>
      <c r="D170">
        <v>17</v>
      </c>
      <c r="E170">
        <v>55</v>
      </c>
      <c r="F170">
        <v>14</v>
      </c>
      <c r="G170">
        <v>43</v>
      </c>
      <c r="H170">
        <v>15</v>
      </c>
      <c r="I170">
        <v>44</v>
      </c>
      <c r="J170">
        <v>8</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25</v>
      </c>
      <c r="D171">
        <v>10</v>
      </c>
      <c r="E171">
        <v>22</v>
      </c>
      <c r="F171">
        <v>8</v>
      </c>
      <c r="G171">
        <v>18</v>
      </c>
      <c r="H171">
        <v>9</v>
      </c>
      <c r="I171">
        <v>24</v>
      </c>
      <c r="J171">
        <v>4</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22</v>
      </c>
      <c r="D172">
        <v>6</v>
      </c>
      <c r="E172">
        <v>15</v>
      </c>
      <c r="F172">
        <v>8</v>
      </c>
      <c r="G172">
        <v>18</v>
      </c>
      <c r="H172">
        <v>7</v>
      </c>
      <c r="I172">
        <v>20</v>
      </c>
      <c r="J172">
        <v>3</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33</v>
      </c>
      <c r="D173">
        <v>18</v>
      </c>
      <c r="E173">
        <v>26</v>
      </c>
      <c r="F173">
        <v>24</v>
      </c>
      <c r="G173">
        <v>25</v>
      </c>
      <c r="H173">
        <v>18</v>
      </c>
      <c r="I173">
        <v>26</v>
      </c>
      <c r="J173">
        <v>4</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20</v>
      </c>
      <c r="D174">
        <v>4</v>
      </c>
      <c r="E174">
        <v>21</v>
      </c>
      <c r="F174">
        <v>4</v>
      </c>
      <c r="G174">
        <v>20</v>
      </c>
      <c r="H174">
        <v>2</v>
      </c>
      <c r="I174">
        <v>15</v>
      </c>
      <c r="J174">
        <v>2</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v>
      </c>
      <c r="D175">
        <v>4</v>
      </c>
      <c r="E175">
        <v>14</v>
      </c>
      <c r="F175">
        <v>4</v>
      </c>
      <c r="G175">
        <v>18</v>
      </c>
      <c r="H175">
        <v>4</v>
      </c>
      <c r="I175">
        <v>15</v>
      </c>
      <c r="J175">
        <v>2</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33</v>
      </c>
      <c r="D176">
        <v>24</v>
      </c>
      <c r="E176">
        <v>23</v>
      </c>
      <c r="F176">
        <v>21</v>
      </c>
      <c r="G176">
        <v>24</v>
      </c>
      <c r="H176">
        <v>13</v>
      </c>
      <c r="I176">
        <v>21</v>
      </c>
      <c r="J176">
        <v>3</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13</v>
      </c>
      <c r="D177">
        <v>19</v>
      </c>
      <c r="E177">
        <v>13</v>
      </c>
      <c r="F177">
        <v>11</v>
      </c>
      <c r="G177">
        <v>11</v>
      </c>
      <c r="H177">
        <v>11</v>
      </c>
      <c r="I177">
        <v>6</v>
      </c>
      <c r="J177">
        <v>4</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894</v>
      </c>
      <c r="B178" s="134"/>
      <c r="C178">
        <v>39</v>
      </c>
      <c r="D178">
        <v>13</v>
      </c>
      <c r="E178">
        <v>33</v>
      </c>
      <c r="F178">
        <v>11</v>
      </c>
      <c r="G178">
        <v>26</v>
      </c>
      <c r="H178">
        <v>10</v>
      </c>
      <c r="I178">
        <v>32</v>
      </c>
      <c r="J178">
        <v>3</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6</v>
      </c>
      <c r="D179">
        <v>4</v>
      </c>
      <c r="E179">
        <v>8</v>
      </c>
      <c r="F179">
        <v>5</v>
      </c>
      <c r="G179">
        <v>6</v>
      </c>
      <c r="H179">
        <v>3</v>
      </c>
      <c r="I179">
        <v>6</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23</v>
      </c>
      <c r="D180">
        <v>8</v>
      </c>
      <c r="E180">
        <v>20</v>
      </c>
      <c r="F180">
        <v>12</v>
      </c>
      <c r="G180">
        <v>18</v>
      </c>
      <c r="H180">
        <v>6</v>
      </c>
      <c r="I180">
        <v>12</v>
      </c>
      <c r="J180">
        <v>2</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29</v>
      </c>
      <c r="D181">
        <v>18</v>
      </c>
      <c r="E181">
        <v>24</v>
      </c>
      <c r="F181">
        <v>10</v>
      </c>
      <c r="G181">
        <v>22</v>
      </c>
      <c r="H181">
        <v>6</v>
      </c>
      <c r="I181">
        <v>29</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30</v>
      </c>
      <c r="D182">
        <v>7</v>
      </c>
      <c r="E182">
        <v>18</v>
      </c>
      <c r="F182">
        <v>6</v>
      </c>
      <c r="G182">
        <v>18</v>
      </c>
      <c r="H182">
        <v>7</v>
      </c>
      <c r="I182">
        <v>19</v>
      </c>
      <c r="J182">
        <v>3</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23.03921568627451</v>
      </c>
      <c r="D183">
        <v>6.46594427244582</v>
      </c>
      <c r="E183">
        <v>20</v>
      </c>
      <c r="F183">
        <v>5</v>
      </c>
      <c r="G183">
        <v>20</v>
      </c>
      <c r="H183">
        <v>4</v>
      </c>
      <c r="I183">
        <v>20</v>
      </c>
      <c r="J183">
        <v>2</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13</v>
      </c>
      <c r="D184">
        <v>7</v>
      </c>
      <c r="E184">
        <v>11</v>
      </c>
      <c r="F184">
        <v>5</v>
      </c>
      <c r="G184">
        <v>12</v>
      </c>
      <c r="H184">
        <v>7</v>
      </c>
      <c r="I184">
        <v>12</v>
      </c>
      <c r="J184">
        <v>2</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22</v>
      </c>
      <c r="D185">
        <v>8</v>
      </c>
      <c r="E185">
        <v>20</v>
      </c>
      <c r="F185">
        <v>8</v>
      </c>
      <c r="G185">
        <v>18</v>
      </c>
      <c r="H185">
        <v>7</v>
      </c>
      <c r="I185">
        <v>20</v>
      </c>
      <c r="J185">
        <v>3</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25</v>
      </c>
      <c r="D186">
        <v>12</v>
      </c>
      <c r="E186">
        <v>18</v>
      </c>
      <c r="F186">
        <v>12</v>
      </c>
      <c r="G186">
        <v>19</v>
      </c>
      <c r="H186">
        <v>7</v>
      </c>
      <c r="I186">
        <v>21</v>
      </c>
      <c r="J186">
        <v>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18</v>
      </c>
      <c r="D187">
        <v>7</v>
      </c>
      <c r="E187">
        <v>12</v>
      </c>
      <c r="F187">
        <v>7</v>
      </c>
      <c r="G187">
        <v>19</v>
      </c>
      <c r="H187">
        <v>7</v>
      </c>
      <c r="I187">
        <v>17</v>
      </c>
      <c r="J187">
        <v>3</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24</v>
      </c>
      <c r="D188">
        <v>5</v>
      </c>
      <c r="E188">
        <v>18</v>
      </c>
      <c r="F188">
        <v>6</v>
      </c>
      <c r="G188">
        <v>21</v>
      </c>
      <c r="H188">
        <v>7</v>
      </c>
      <c r="I188">
        <v>21</v>
      </c>
      <c r="J188">
        <v>2</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21</v>
      </c>
      <c r="D189">
        <v>6</v>
      </c>
      <c r="E189">
        <v>24</v>
      </c>
      <c r="F189">
        <v>6</v>
      </c>
      <c r="G189">
        <v>16</v>
      </c>
      <c r="H189">
        <v>5</v>
      </c>
      <c r="I189">
        <v>19</v>
      </c>
      <c r="J189">
        <v>2</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23</v>
      </c>
      <c r="D190">
        <v>32</v>
      </c>
      <c r="E190">
        <v>14</v>
      </c>
      <c r="F190">
        <v>26</v>
      </c>
      <c r="G190">
        <v>15</v>
      </c>
      <c r="H190">
        <v>18</v>
      </c>
      <c r="I190">
        <v>18</v>
      </c>
      <c r="J190">
        <v>4</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7</v>
      </c>
      <c r="D191">
        <v>5</v>
      </c>
      <c r="E191">
        <v>7</v>
      </c>
      <c r="F191">
        <v>5</v>
      </c>
      <c r="G191">
        <v>9</v>
      </c>
      <c r="H191">
        <v>5</v>
      </c>
      <c r="I191">
        <v>8</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21</v>
      </c>
      <c r="D192">
        <v>8</v>
      </c>
      <c r="E192">
        <v>19</v>
      </c>
      <c r="F192">
        <v>9</v>
      </c>
      <c r="G192">
        <v>10</v>
      </c>
      <c r="H192">
        <v>5</v>
      </c>
      <c r="I192">
        <v>11</v>
      </c>
      <c r="J192">
        <v>2</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26</v>
      </c>
      <c r="D193">
        <v>15</v>
      </c>
      <c r="E193">
        <v>28</v>
      </c>
      <c r="F193">
        <v>16</v>
      </c>
      <c r="G193">
        <v>27</v>
      </c>
      <c r="H193">
        <v>21</v>
      </c>
      <c r="I193">
        <v>23</v>
      </c>
      <c r="J193">
        <v>4</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23</v>
      </c>
      <c r="D194">
        <v>7</v>
      </c>
      <c r="E194">
        <v>22</v>
      </c>
      <c r="F194">
        <v>7</v>
      </c>
      <c r="G194">
        <v>20</v>
      </c>
      <c r="H194">
        <v>5</v>
      </c>
      <c r="I194">
        <v>21</v>
      </c>
      <c r="J194">
        <v>3</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27</v>
      </c>
      <c r="D195">
        <v>9</v>
      </c>
      <c r="E195">
        <v>23</v>
      </c>
      <c r="F195">
        <v>12</v>
      </c>
      <c r="G195">
        <v>24</v>
      </c>
      <c r="H195">
        <v>11</v>
      </c>
      <c r="I195">
        <v>38</v>
      </c>
      <c r="J195">
        <v>4</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27</v>
      </c>
      <c r="D196">
        <v>11</v>
      </c>
      <c r="E196">
        <v>18</v>
      </c>
      <c r="F196">
        <v>10</v>
      </c>
      <c r="G196">
        <v>19</v>
      </c>
      <c r="H196">
        <v>6</v>
      </c>
      <c r="I196">
        <v>15</v>
      </c>
      <c r="J196">
        <v>2</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26</v>
      </c>
      <c r="D197">
        <v>5</v>
      </c>
      <c r="E197">
        <v>22</v>
      </c>
      <c r="F197">
        <v>7</v>
      </c>
      <c r="G197">
        <v>19</v>
      </c>
      <c r="H197">
        <v>6</v>
      </c>
      <c r="I197">
        <v>17</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7</v>
      </c>
      <c r="D198">
        <v>4</v>
      </c>
      <c r="E198">
        <v>9</v>
      </c>
      <c r="F198">
        <v>4</v>
      </c>
      <c r="G198">
        <v>8</v>
      </c>
      <c r="H198">
        <v>4</v>
      </c>
      <c r="I198">
        <v>7</v>
      </c>
      <c r="J198">
        <v>2</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23</v>
      </c>
      <c r="D199">
        <v>7</v>
      </c>
      <c r="E199">
        <v>13</v>
      </c>
      <c r="F199">
        <v>7</v>
      </c>
      <c r="G199">
        <v>16</v>
      </c>
      <c r="H199">
        <v>7</v>
      </c>
      <c r="I199">
        <v>17</v>
      </c>
      <c r="J199">
        <v>3</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24</v>
      </c>
      <c r="D200">
        <v>6</v>
      </c>
      <c r="E200">
        <v>21</v>
      </c>
      <c r="F200">
        <v>6</v>
      </c>
      <c r="G200">
        <v>28</v>
      </c>
      <c r="H200">
        <v>5</v>
      </c>
      <c r="I200">
        <v>26</v>
      </c>
      <c r="J200">
        <v>3</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14</v>
      </c>
      <c r="D201">
        <v>4</v>
      </c>
      <c r="E201">
        <v>8</v>
      </c>
      <c r="F201">
        <v>4</v>
      </c>
      <c r="G201">
        <v>10</v>
      </c>
      <c r="H201">
        <v>2</v>
      </c>
      <c r="I201">
        <v>5</v>
      </c>
      <c r="J201">
        <v>2</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21</v>
      </c>
      <c r="D202">
        <v>10</v>
      </c>
      <c r="E202">
        <v>20</v>
      </c>
      <c r="F202">
        <v>13</v>
      </c>
      <c r="G202">
        <v>21</v>
      </c>
      <c r="H202">
        <v>11</v>
      </c>
      <c r="I202">
        <v>20</v>
      </c>
      <c r="J202">
        <v>5</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24</v>
      </c>
      <c r="D203">
        <v>9</v>
      </c>
      <c r="E203">
        <v>25</v>
      </c>
      <c r="F203">
        <v>13</v>
      </c>
      <c r="G203">
        <v>23</v>
      </c>
      <c r="H203">
        <v>12</v>
      </c>
      <c r="I203">
        <v>20</v>
      </c>
      <c r="J203">
        <v>3</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12</v>
      </c>
      <c r="D204">
        <v>9</v>
      </c>
      <c r="E204">
        <v>9</v>
      </c>
      <c r="F204">
        <v>8</v>
      </c>
      <c r="G204">
        <v>11</v>
      </c>
      <c r="H204">
        <v>4</v>
      </c>
      <c r="I204">
        <v>9</v>
      </c>
      <c r="J204">
        <v>2</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16</v>
      </c>
      <c r="D205">
        <v>4</v>
      </c>
      <c r="E205">
        <v>5</v>
      </c>
      <c r="F205">
        <v>3</v>
      </c>
      <c r="G205">
        <v>11</v>
      </c>
      <c r="H205">
        <v>3</v>
      </c>
      <c r="I205">
        <v>11</v>
      </c>
      <c r="J205">
        <v>2</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v>
      </c>
      <c r="D206">
        <v>7</v>
      </c>
      <c r="E206">
        <v>19</v>
      </c>
      <c r="F206">
        <v>10</v>
      </c>
      <c r="G206">
        <v>13</v>
      </c>
      <c r="H206">
        <v>14</v>
      </c>
      <c r="I206">
        <v>19</v>
      </c>
      <c r="J206">
        <v>5</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19</v>
      </c>
      <c r="D207">
        <v>6</v>
      </c>
      <c r="E207">
        <v>21</v>
      </c>
      <c r="F207">
        <v>6</v>
      </c>
      <c r="G207">
        <v>19</v>
      </c>
      <c r="H207">
        <v>7</v>
      </c>
      <c r="I207">
        <v>16</v>
      </c>
      <c r="J207">
        <v>2</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17</v>
      </c>
      <c r="D208">
        <v>14</v>
      </c>
      <c r="E208">
        <v>15</v>
      </c>
      <c r="F208">
        <v>15</v>
      </c>
      <c r="G208">
        <v>15</v>
      </c>
      <c r="H208">
        <v>11</v>
      </c>
      <c r="I208">
        <v>24</v>
      </c>
      <c r="J208">
        <v>5</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21</v>
      </c>
      <c r="D209">
        <v>4</v>
      </c>
      <c r="E209">
        <v>16</v>
      </c>
      <c r="F209">
        <v>4</v>
      </c>
      <c r="G209">
        <v>16</v>
      </c>
      <c r="H209">
        <v>4</v>
      </c>
      <c r="I209">
        <v>17</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v>
      </c>
      <c r="D210">
        <v>3</v>
      </c>
      <c r="E210">
        <v>9</v>
      </c>
      <c r="F210">
        <v>3</v>
      </c>
      <c r="G210">
        <v>8</v>
      </c>
      <c r="H210">
        <v>4</v>
      </c>
      <c r="I210">
        <v>9</v>
      </c>
      <c r="J210">
        <v>2</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4</v>
      </c>
      <c r="D211">
        <v>1</v>
      </c>
      <c r="E211">
        <v>4</v>
      </c>
      <c r="F211">
        <v>1</v>
      </c>
      <c r="G211">
        <v>4</v>
      </c>
      <c r="H211">
        <v>1</v>
      </c>
      <c r="I211">
        <v>4</v>
      </c>
      <c r="J211">
        <v>1</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23</v>
      </c>
      <c r="D212">
        <v>18</v>
      </c>
      <c r="E212">
        <v>31</v>
      </c>
      <c r="F212">
        <v>21</v>
      </c>
      <c r="G212">
        <v>30</v>
      </c>
      <c r="H212">
        <v>10</v>
      </c>
      <c r="I212">
        <v>35</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26</v>
      </c>
      <c r="D213">
        <v>8</v>
      </c>
      <c r="E213">
        <v>24</v>
      </c>
      <c r="F213">
        <v>13</v>
      </c>
      <c r="G213">
        <v>25</v>
      </c>
      <c r="H213">
        <v>11</v>
      </c>
      <c r="I213">
        <v>16</v>
      </c>
      <c r="J213">
        <v>3</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20</v>
      </c>
      <c r="D214">
        <v>7</v>
      </c>
      <c r="E214">
        <v>22</v>
      </c>
      <c r="F214">
        <v>6</v>
      </c>
      <c r="G214">
        <v>20</v>
      </c>
      <c r="H214">
        <v>6</v>
      </c>
      <c r="I214">
        <v>27</v>
      </c>
      <c r="J214">
        <v>2</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41</v>
      </c>
      <c r="D215">
        <v>18</v>
      </c>
      <c r="E215">
        <v>38</v>
      </c>
      <c r="F215">
        <v>23</v>
      </c>
      <c r="G215">
        <v>22</v>
      </c>
      <c r="H215">
        <v>14</v>
      </c>
      <c r="I215">
        <v>19</v>
      </c>
      <c r="J215">
        <v>2</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23</v>
      </c>
      <c r="D216">
        <v>13</v>
      </c>
      <c r="E216">
        <v>25</v>
      </c>
      <c r="F216">
        <v>14</v>
      </c>
      <c r="G216">
        <v>20</v>
      </c>
      <c r="H216">
        <v>10</v>
      </c>
      <c r="I216">
        <v>23</v>
      </c>
      <c r="J216">
        <v>3</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v>
      </c>
      <c r="D217">
        <v>10</v>
      </c>
      <c r="E217">
        <v>27</v>
      </c>
      <c r="F217">
        <v>14</v>
      </c>
      <c r="G217">
        <v>22</v>
      </c>
      <c r="H217">
        <v>11</v>
      </c>
      <c r="I217">
        <v>21</v>
      </c>
      <c r="J217">
        <v>3</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24</v>
      </c>
      <c r="D218">
        <v>10</v>
      </c>
      <c r="E218">
        <v>22</v>
      </c>
      <c r="F218">
        <v>9</v>
      </c>
      <c r="G218">
        <v>19</v>
      </c>
      <c r="H218">
        <v>7</v>
      </c>
      <c r="I218">
        <v>25</v>
      </c>
      <c r="J218">
        <v>2</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59</v>
      </c>
      <c r="D219">
        <v>16</v>
      </c>
      <c r="E219">
        <v>48</v>
      </c>
      <c r="F219">
        <v>12</v>
      </c>
      <c r="G219">
        <v>32</v>
      </c>
      <c r="H219">
        <v>8</v>
      </c>
      <c r="I219">
        <v>25</v>
      </c>
      <c r="J219">
        <v>4</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29</v>
      </c>
      <c r="D220">
        <v>16</v>
      </c>
      <c r="E220">
        <v>22</v>
      </c>
      <c r="F220">
        <v>11</v>
      </c>
      <c r="G220">
        <v>34</v>
      </c>
      <c r="H220">
        <v>5</v>
      </c>
      <c r="I220">
        <v>39</v>
      </c>
      <c r="J220">
        <v>3</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21.650294695481335</v>
      </c>
      <c r="D221">
        <v>8.4537529550827415</v>
      </c>
      <c r="E221">
        <v>16</v>
      </c>
      <c r="F221">
        <v>6</v>
      </c>
      <c r="G221">
        <v>14</v>
      </c>
      <c r="H221">
        <v>5</v>
      </c>
      <c r="I221">
        <v>14</v>
      </c>
      <c r="J221">
        <v>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14</v>
      </c>
      <c r="D222">
        <v>7</v>
      </c>
      <c r="E222">
        <v>14</v>
      </c>
      <c r="F222">
        <v>7</v>
      </c>
      <c r="G222">
        <v>11</v>
      </c>
      <c r="H222">
        <v>8</v>
      </c>
      <c r="I222">
        <v>11</v>
      </c>
      <c r="J222">
        <v>3</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23</v>
      </c>
      <c r="D223">
        <v>9</v>
      </c>
      <c r="E223">
        <v>33</v>
      </c>
      <c r="F223">
        <v>11</v>
      </c>
      <c r="G223">
        <v>25</v>
      </c>
      <c r="H223">
        <v>12</v>
      </c>
      <c r="I223">
        <v>25</v>
      </c>
      <c r="J223">
        <v>5</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19</v>
      </c>
      <c r="D224">
        <v>8</v>
      </c>
      <c r="E224">
        <v>17</v>
      </c>
      <c r="F224">
        <v>10</v>
      </c>
      <c r="G224">
        <v>17</v>
      </c>
      <c r="H224">
        <v>6</v>
      </c>
      <c r="I224">
        <v>19</v>
      </c>
      <c r="J224">
        <v>3</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14</v>
      </c>
      <c r="D225">
        <v>5</v>
      </c>
      <c r="E225">
        <v>15</v>
      </c>
      <c r="F225">
        <v>6</v>
      </c>
      <c r="G225">
        <v>13</v>
      </c>
      <c r="H225">
        <v>4</v>
      </c>
      <c r="I225">
        <v>12</v>
      </c>
      <c r="J225">
        <v>2</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34</v>
      </c>
      <c r="D226">
        <v>14</v>
      </c>
      <c r="E226">
        <v>21</v>
      </c>
      <c r="F226">
        <v>13</v>
      </c>
      <c r="G226">
        <v>32</v>
      </c>
      <c r="H226">
        <v>15</v>
      </c>
      <c r="I226">
        <v>31</v>
      </c>
      <c r="J226">
        <v>5</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12</v>
      </c>
      <c r="D227">
        <v>6</v>
      </c>
      <c r="E227">
        <v>14</v>
      </c>
      <c r="F227">
        <v>8</v>
      </c>
      <c r="G227">
        <v>14</v>
      </c>
      <c r="H227">
        <v>5</v>
      </c>
      <c r="I227">
        <v>14</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11</v>
      </c>
      <c r="D228">
        <v>5</v>
      </c>
      <c r="E228">
        <v>15</v>
      </c>
      <c r="F228">
        <v>6</v>
      </c>
      <c r="G228">
        <v>14</v>
      </c>
      <c r="H228">
        <v>5</v>
      </c>
      <c r="I228">
        <v>29</v>
      </c>
      <c r="J228">
        <v>6</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16</v>
      </c>
      <c r="D229">
        <v>5</v>
      </c>
      <c r="E229">
        <v>14</v>
      </c>
      <c r="F229">
        <v>6</v>
      </c>
      <c r="G229">
        <v>12</v>
      </c>
      <c r="H229">
        <v>10</v>
      </c>
      <c r="I229">
        <v>14</v>
      </c>
      <c r="J229">
        <v>3</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25</v>
      </c>
      <c r="D230">
        <v>7</v>
      </c>
      <c r="E230">
        <v>17</v>
      </c>
      <c r="F230">
        <v>7</v>
      </c>
      <c r="G230">
        <v>16</v>
      </c>
      <c r="H230">
        <v>5</v>
      </c>
      <c r="I230">
        <v>17</v>
      </c>
      <c r="J230">
        <v>2</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v>
      </c>
      <c r="D231">
        <v>4</v>
      </c>
      <c r="E231">
        <v>20</v>
      </c>
      <c r="F231">
        <v>6</v>
      </c>
      <c r="G231">
        <v>17</v>
      </c>
      <c r="H231">
        <v>5</v>
      </c>
      <c r="I231">
        <v>21</v>
      </c>
      <c r="J231">
        <v>3</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26</v>
      </c>
      <c r="D232">
        <v>8</v>
      </c>
      <c r="E232">
        <v>28</v>
      </c>
      <c r="F232">
        <v>8</v>
      </c>
      <c r="G232">
        <v>21</v>
      </c>
      <c r="H232">
        <v>7</v>
      </c>
      <c r="I232">
        <v>20</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21</v>
      </c>
      <c r="D233">
        <v>14</v>
      </c>
      <c r="E233">
        <v>17</v>
      </c>
      <c r="F233">
        <v>11</v>
      </c>
      <c r="G233">
        <v>20</v>
      </c>
      <c r="H233">
        <v>11</v>
      </c>
      <c r="I233">
        <v>24</v>
      </c>
      <c r="J233">
        <v>4</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27</v>
      </c>
      <c r="D234">
        <v>7</v>
      </c>
      <c r="E234">
        <v>24</v>
      </c>
      <c r="F234">
        <v>5</v>
      </c>
      <c r="G234">
        <v>27</v>
      </c>
      <c r="H234">
        <v>4</v>
      </c>
      <c r="I234">
        <v>27</v>
      </c>
      <c r="J234">
        <v>2</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19</v>
      </c>
      <c r="D235">
        <v>6</v>
      </c>
      <c r="E235">
        <v>22</v>
      </c>
      <c r="F235">
        <v>9</v>
      </c>
      <c r="G235">
        <v>24</v>
      </c>
      <c r="H235">
        <v>8</v>
      </c>
      <c r="I235">
        <v>24</v>
      </c>
      <c r="J235">
        <v>3</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21</v>
      </c>
      <c r="D236">
        <v>2</v>
      </c>
      <c r="E236">
        <v>26</v>
      </c>
      <c r="F236">
        <v>3</v>
      </c>
      <c r="G236">
        <v>22</v>
      </c>
      <c r="H236">
        <v>3</v>
      </c>
      <c r="I236">
        <v>24</v>
      </c>
      <c r="J236">
        <v>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11</v>
      </c>
      <c r="D237">
        <v>4</v>
      </c>
      <c r="E237">
        <v>11</v>
      </c>
      <c r="F237">
        <v>4</v>
      </c>
      <c r="G237">
        <v>9</v>
      </c>
      <c r="H237">
        <v>4</v>
      </c>
      <c r="I237">
        <v>11</v>
      </c>
      <c r="J237">
        <v>1</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17</v>
      </c>
      <c r="D238">
        <v>9</v>
      </c>
      <c r="E238" t="s">
        <v>879</v>
      </c>
      <c r="F238" t="s">
        <v>879</v>
      </c>
      <c r="G238">
        <v>32</v>
      </c>
      <c r="H238">
        <v>24</v>
      </c>
      <c r="I238">
        <v>22</v>
      </c>
      <c r="J238">
        <v>7</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40</v>
      </c>
      <c r="D239">
        <v>15</v>
      </c>
      <c r="E239">
        <v>53</v>
      </c>
      <c r="F239">
        <v>21</v>
      </c>
      <c r="G239">
        <v>32</v>
      </c>
      <c r="H239">
        <v>15</v>
      </c>
      <c r="I239">
        <v>22</v>
      </c>
      <c r="J239">
        <v>3</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14</v>
      </c>
      <c r="D240">
        <v>7</v>
      </c>
      <c r="E240">
        <v>8</v>
      </c>
      <c r="F240">
        <v>10</v>
      </c>
      <c r="G240">
        <v>12</v>
      </c>
      <c r="H240">
        <v>11</v>
      </c>
      <c r="I240">
        <v>19</v>
      </c>
      <c r="J240">
        <v>4</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19</v>
      </c>
      <c r="D241">
        <v>6</v>
      </c>
      <c r="E241">
        <v>23</v>
      </c>
      <c r="F241">
        <v>6</v>
      </c>
      <c r="G241">
        <v>21</v>
      </c>
      <c r="H241">
        <v>5</v>
      </c>
      <c r="I241">
        <v>24</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11</v>
      </c>
      <c r="D242">
        <v>7</v>
      </c>
      <c r="E242">
        <v>13</v>
      </c>
      <c r="F242">
        <v>9</v>
      </c>
      <c r="G242">
        <v>9</v>
      </c>
      <c r="H242">
        <v>7</v>
      </c>
      <c r="I242">
        <v>13</v>
      </c>
      <c r="J242">
        <v>2</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18</v>
      </c>
      <c r="D243">
        <v>10</v>
      </c>
      <c r="E243">
        <v>16</v>
      </c>
      <c r="F243">
        <v>8</v>
      </c>
      <c r="G243">
        <v>17</v>
      </c>
      <c r="H243">
        <v>8</v>
      </c>
      <c r="I243">
        <v>13</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17</v>
      </c>
      <c r="D244">
        <v>9</v>
      </c>
      <c r="E244">
        <v>18</v>
      </c>
      <c r="F244">
        <v>12</v>
      </c>
      <c r="G244">
        <v>19</v>
      </c>
      <c r="H244">
        <v>10</v>
      </c>
      <c r="I244">
        <v>20</v>
      </c>
      <c r="J244">
        <v>4</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32</v>
      </c>
      <c r="D245">
        <v>12</v>
      </c>
      <c r="E245">
        <v>24</v>
      </c>
      <c r="F245">
        <v>11</v>
      </c>
      <c r="G245">
        <v>21</v>
      </c>
      <c r="H245">
        <v>5</v>
      </c>
      <c r="I245">
        <v>24</v>
      </c>
      <c r="J245">
        <v>3</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13</v>
      </c>
      <c r="D246">
        <v>8</v>
      </c>
      <c r="E246">
        <v>12</v>
      </c>
      <c r="F246">
        <v>7</v>
      </c>
      <c r="G246">
        <v>13</v>
      </c>
      <c r="H246">
        <v>6</v>
      </c>
      <c r="I246">
        <v>12</v>
      </c>
      <c r="J246">
        <v>3</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20</v>
      </c>
      <c r="D247">
        <v>11</v>
      </c>
      <c r="E247">
        <v>15</v>
      </c>
      <c r="F247">
        <v>6</v>
      </c>
      <c r="G247">
        <v>16</v>
      </c>
      <c r="H247">
        <v>3</v>
      </c>
      <c r="I247">
        <v>13</v>
      </c>
      <c r="J247">
        <v>2</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24</v>
      </c>
      <c r="D248">
        <v>3</v>
      </c>
      <c r="E248">
        <v>21</v>
      </c>
      <c r="F248">
        <v>3</v>
      </c>
      <c r="G248">
        <v>18</v>
      </c>
      <c r="H248">
        <v>3</v>
      </c>
      <c r="I248">
        <v>26</v>
      </c>
      <c r="J248">
        <v>1</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15</v>
      </c>
      <c r="D249">
        <v>6</v>
      </c>
      <c r="E249">
        <v>13</v>
      </c>
      <c r="F249">
        <v>6</v>
      </c>
      <c r="G249">
        <v>14</v>
      </c>
      <c r="H249">
        <v>4</v>
      </c>
      <c r="I249">
        <v>16</v>
      </c>
      <c r="J249">
        <v>4</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24</v>
      </c>
      <c r="D250">
        <v>10</v>
      </c>
      <c r="E250">
        <v>20</v>
      </c>
      <c r="F250">
        <v>13</v>
      </c>
      <c r="G250">
        <v>19</v>
      </c>
      <c r="H250">
        <v>9</v>
      </c>
      <c r="I250">
        <v>22</v>
      </c>
      <c r="J250">
        <v>3</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22</v>
      </c>
      <c r="D251">
        <v>7</v>
      </c>
      <c r="E251">
        <v>11</v>
      </c>
      <c r="F251">
        <v>4</v>
      </c>
      <c r="G251">
        <v>8</v>
      </c>
      <c r="H251">
        <v>3</v>
      </c>
      <c r="I251">
        <v>8</v>
      </c>
      <c r="J251">
        <v>2</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19</v>
      </c>
      <c r="D252">
        <v>14</v>
      </c>
      <c r="E252">
        <v>18</v>
      </c>
      <c r="F252">
        <v>9</v>
      </c>
      <c r="G252">
        <v>19</v>
      </c>
      <c r="H252">
        <v>15</v>
      </c>
      <c r="I252">
        <v>29</v>
      </c>
      <c r="J252">
        <v>10</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20</v>
      </c>
      <c r="D253">
        <v>10</v>
      </c>
      <c r="E253">
        <v>19</v>
      </c>
      <c r="F253">
        <v>12</v>
      </c>
      <c r="G253">
        <v>17</v>
      </c>
      <c r="H253">
        <v>11</v>
      </c>
      <c r="I253">
        <v>14</v>
      </c>
      <c r="J253">
        <v>3</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25</v>
      </c>
      <c r="D254">
        <v>7</v>
      </c>
      <c r="E254">
        <v>29</v>
      </c>
      <c r="F254">
        <v>11</v>
      </c>
      <c r="G254">
        <v>42</v>
      </c>
      <c r="H254">
        <v>13</v>
      </c>
      <c r="I254">
        <v>40</v>
      </c>
      <c r="J254">
        <v>7</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13</v>
      </c>
      <c r="D255">
        <v>8</v>
      </c>
      <c r="E255">
        <v>10</v>
      </c>
      <c r="F255">
        <v>10</v>
      </c>
      <c r="G255">
        <v>9</v>
      </c>
      <c r="H255">
        <v>7</v>
      </c>
      <c r="I255">
        <v>10</v>
      </c>
      <c r="J255">
        <v>3</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15</v>
      </c>
      <c r="D256">
        <v>5</v>
      </c>
      <c r="E256">
        <v>13</v>
      </c>
      <c r="F256">
        <v>5</v>
      </c>
      <c r="G256">
        <v>13</v>
      </c>
      <c r="H256">
        <v>4</v>
      </c>
      <c r="I256">
        <v>12</v>
      </c>
      <c r="J256">
        <v>2</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15</v>
      </c>
      <c r="D257">
        <v>9</v>
      </c>
      <c r="E257">
        <v>10</v>
      </c>
      <c r="F257">
        <v>7</v>
      </c>
      <c r="G257">
        <v>16</v>
      </c>
      <c r="H257">
        <v>12</v>
      </c>
      <c r="I257">
        <v>15</v>
      </c>
      <c r="J257">
        <v>3</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31</v>
      </c>
      <c r="D258">
        <v>14</v>
      </c>
      <c r="E258">
        <v>27</v>
      </c>
      <c r="F258">
        <v>11</v>
      </c>
      <c r="G258">
        <v>23</v>
      </c>
      <c r="H258">
        <v>9</v>
      </c>
      <c r="I258">
        <v>21</v>
      </c>
      <c r="J258">
        <v>2</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11</v>
      </c>
      <c r="D259">
        <v>3</v>
      </c>
      <c r="E259">
        <v>11</v>
      </c>
      <c r="F259">
        <v>4</v>
      </c>
      <c r="G259">
        <v>12</v>
      </c>
      <c r="H259">
        <v>3</v>
      </c>
      <c r="I259">
        <v>11</v>
      </c>
      <c r="J259">
        <v>2</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19</v>
      </c>
      <c r="D260">
        <v>11</v>
      </c>
      <c r="E260">
        <v>18</v>
      </c>
      <c r="F260">
        <v>8</v>
      </c>
      <c r="G260">
        <v>16</v>
      </c>
      <c r="H260">
        <v>8</v>
      </c>
      <c r="I260">
        <v>29</v>
      </c>
      <c r="J260">
        <v>5</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v>
      </c>
      <c r="D261">
        <v>7</v>
      </c>
      <c r="E261">
        <v>6</v>
      </c>
      <c r="F261">
        <v>6</v>
      </c>
      <c r="G261">
        <v>6</v>
      </c>
      <c r="H261">
        <v>5</v>
      </c>
      <c r="I261">
        <v>7</v>
      </c>
      <c r="J261">
        <v>3</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11</v>
      </c>
      <c r="D262">
        <v>2</v>
      </c>
      <c r="E262">
        <v>9</v>
      </c>
      <c r="F262">
        <v>2</v>
      </c>
      <c r="G262">
        <v>11</v>
      </c>
      <c r="H262">
        <v>2</v>
      </c>
      <c r="I262">
        <v>13</v>
      </c>
      <c r="J262">
        <v>1</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17</v>
      </c>
      <c r="D263">
        <v>5</v>
      </c>
      <c r="E263">
        <v>15</v>
      </c>
      <c r="F263">
        <v>4</v>
      </c>
      <c r="G263">
        <v>17</v>
      </c>
      <c r="H263">
        <v>4</v>
      </c>
      <c r="I263">
        <v>23</v>
      </c>
      <c r="J263">
        <v>2</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31</v>
      </c>
      <c r="D264">
        <v>6</v>
      </c>
      <c r="E264">
        <v>26</v>
      </c>
      <c r="F264">
        <v>5</v>
      </c>
      <c r="G264">
        <v>26</v>
      </c>
      <c r="H264">
        <v>5</v>
      </c>
      <c r="I264">
        <v>19</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23</v>
      </c>
      <c r="D265">
        <v>10</v>
      </c>
      <c r="E265">
        <v>18</v>
      </c>
      <c r="F265">
        <v>15</v>
      </c>
      <c r="G265">
        <v>23</v>
      </c>
      <c r="H265">
        <v>9</v>
      </c>
      <c r="I265">
        <v>26</v>
      </c>
      <c r="J265">
        <v>3</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42</v>
      </c>
      <c r="D266">
        <v>4</v>
      </c>
      <c r="E266">
        <v>43</v>
      </c>
      <c r="F266">
        <v>10</v>
      </c>
      <c r="G266">
        <v>30</v>
      </c>
      <c r="H266">
        <v>6</v>
      </c>
      <c r="I266">
        <v>28</v>
      </c>
      <c r="J266">
        <v>2</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21</v>
      </c>
      <c r="D267">
        <v>11</v>
      </c>
      <c r="E267">
        <v>13</v>
      </c>
      <c r="F267">
        <v>15</v>
      </c>
      <c r="G267">
        <v>16</v>
      </c>
      <c r="H267">
        <v>10</v>
      </c>
      <c r="I267">
        <v>34</v>
      </c>
      <c r="J267">
        <v>5</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16</v>
      </c>
      <c r="D268">
        <v>6</v>
      </c>
      <c r="E268">
        <v>15</v>
      </c>
      <c r="F268">
        <v>8</v>
      </c>
      <c r="G268">
        <v>15</v>
      </c>
      <c r="H268">
        <v>6</v>
      </c>
      <c r="I268">
        <v>15</v>
      </c>
      <c r="J268">
        <v>2</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18</v>
      </c>
      <c r="D269">
        <v>6</v>
      </c>
      <c r="E269">
        <v>16</v>
      </c>
      <c r="F269">
        <v>3</v>
      </c>
      <c r="G269">
        <v>16</v>
      </c>
      <c r="H269">
        <v>8</v>
      </c>
      <c r="I269">
        <v>16</v>
      </c>
      <c r="J269">
        <v>2</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15</v>
      </c>
      <c r="D270">
        <v>6</v>
      </c>
      <c r="E270">
        <v>15</v>
      </c>
      <c r="F270">
        <v>7</v>
      </c>
      <c r="G270">
        <v>16</v>
      </c>
      <c r="H270">
        <v>10</v>
      </c>
      <c r="I270">
        <v>14</v>
      </c>
      <c r="J270">
        <v>3</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21</v>
      </c>
      <c r="D271">
        <v>6</v>
      </c>
      <c r="E271">
        <v>15</v>
      </c>
      <c r="F271">
        <v>5</v>
      </c>
      <c r="G271">
        <v>12</v>
      </c>
      <c r="H271">
        <v>3</v>
      </c>
      <c r="I271">
        <v>12</v>
      </c>
      <c r="J271">
        <v>2</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16</v>
      </c>
      <c r="D272">
        <v>6</v>
      </c>
      <c r="E272">
        <v>19</v>
      </c>
      <c r="F272">
        <v>9</v>
      </c>
      <c r="G272">
        <v>13</v>
      </c>
      <c r="H272">
        <v>6</v>
      </c>
      <c r="I272">
        <v>14</v>
      </c>
      <c r="J272">
        <v>2</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15</v>
      </c>
      <c r="D273">
        <v>4</v>
      </c>
      <c r="E273">
        <v>16</v>
      </c>
      <c r="F273">
        <v>4</v>
      </c>
      <c r="G273">
        <v>15</v>
      </c>
      <c r="H273">
        <v>6</v>
      </c>
      <c r="I273">
        <v>16</v>
      </c>
      <c r="J273">
        <v>2</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23</v>
      </c>
      <c r="D274">
        <v>11</v>
      </c>
      <c r="E274">
        <v>22</v>
      </c>
      <c r="F274">
        <v>15</v>
      </c>
      <c r="G274">
        <v>21</v>
      </c>
      <c r="H274">
        <v>13</v>
      </c>
      <c r="I274">
        <v>23</v>
      </c>
      <c r="J274">
        <v>5</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24</v>
      </c>
      <c r="D275">
        <v>8</v>
      </c>
      <c r="E275">
        <v>22</v>
      </c>
      <c r="F275">
        <v>15</v>
      </c>
      <c r="G275">
        <v>26</v>
      </c>
      <c r="H275">
        <v>15</v>
      </c>
      <c r="I275">
        <v>25</v>
      </c>
      <c r="J275">
        <v>3</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23</v>
      </c>
      <c r="D276">
        <v>13</v>
      </c>
      <c r="E276">
        <v>19</v>
      </c>
      <c r="F276">
        <v>9</v>
      </c>
      <c r="G276">
        <v>20</v>
      </c>
      <c r="H276">
        <v>6</v>
      </c>
      <c r="I276">
        <v>26</v>
      </c>
      <c r="J276">
        <v>3</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8</v>
      </c>
      <c r="D277">
        <v>8</v>
      </c>
      <c r="E277">
        <v>6</v>
      </c>
      <c r="F277">
        <v>6</v>
      </c>
      <c r="G277">
        <v>5</v>
      </c>
      <c r="H277">
        <v>5</v>
      </c>
      <c r="I277">
        <v>10</v>
      </c>
      <c r="J277">
        <v>3</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17</v>
      </c>
      <c r="D278">
        <v>4</v>
      </c>
      <c r="E278">
        <v>12</v>
      </c>
      <c r="F278">
        <v>4</v>
      </c>
      <c r="G278">
        <v>11</v>
      </c>
      <c r="H278">
        <v>4</v>
      </c>
      <c r="I278">
        <v>19</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21</v>
      </c>
      <c r="D279">
        <v>14</v>
      </c>
      <c r="E279">
        <v>22</v>
      </c>
      <c r="F279">
        <v>14</v>
      </c>
      <c r="G279">
        <v>25</v>
      </c>
      <c r="H279">
        <v>19</v>
      </c>
      <c r="I279">
        <v>25</v>
      </c>
      <c r="J279">
        <v>5</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v>
      </c>
      <c r="D280">
        <v>11</v>
      </c>
      <c r="E280">
        <v>8</v>
      </c>
      <c r="F280">
        <v>8</v>
      </c>
      <c r="G280">
        <v>8</v>
      </c>
      <c r="H280">
        <v>6</v>
      </c>
      <c r="I280">
        <v>15</v>
      </c>
      <c r="J280">
        <v>4</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23</v>
      </c>
      <c r="D281">
        <v>7</v>
      </c>
      <c r="E281">
        <v>25</v>
      </c>
      <c r="F281">
        <v>6</v>
      </c>
      <c r="G281">
        <v>24</v>
      </c>
      <c r="H281">
        <v>3</v>
      </c>
      <c r="I281">
        <v>22</v>
      </c>
      <c r="J281">
        <v>3</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13</v>
      </c>
      <c r="D282">
        <v>8</v>
      </c>
      <c r="E282">
        <v>12</v>
      </c>
      <c r="F282">
        <v>8</v>
      </c>
      <c r="G282">
        <v>12</v>
      </c>
      <c r="H282">
        <v>5</v>
      </c>
      <c r="I282">
        <v>11</v>
      </c>
      <c r="J282">
        <v>2</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23</v>
      </c>
      <c r="D283">
        <v>6</v>
      </c>
      <c r="E283">
        <v>21</v>
      </c>
      <c r="F283">
        <v>6</v>
      </c>
      <c r="G283">
        <v>31</v>
      </c>
      <c r="H283">
        <v>6</v>
      </c>
      <c r="I283">
        <v>28</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16</v>
      </c>
      <c r="D284">
        <v>4</v>
      </c>
      <c r="E284">
        <v>17</v>
      </c>
      <c r="F284">
        <v>3</v>
      </c>
      <c r="G284">
        <v>15</v>
      </c>
      <c r="H284">
        <v>3</v>
      </c>
      <c r="I284">
        <v>15</v>
      </c>
      <c r="J284">
        <v>2</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895</v>
      </c>
      <c r="B285" s="149"/>
      <c r="C285">
        <v>56</v>
      </c>
      <c r="D285">
        <v>18</v>
      </c>
      <c r="E285">
        <v>64</v>
      </c>
      <c r="F285">
        <v>19</v>
      </c>
      <c r="G285">
        <v>53</v>
      </c>
      <c r="H285">
        <v>15</v>
      </c>
      <c r="I285">
        <v>48</v>
      </c>
      <c r="J285">
        <v>5</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25</v>
      </c>
      <c r="D286">
        <v>8</v>
      </c>
      <c r="E286">
        <v>14</v>
      </c>
      <c r="F286">
        <v>6</v>
      </c>
      <c r="G286">
        <v>9</v>
      </c>
      <c r="H286">
        <v>5</v>
      </c>
      <c r="I286">
        <v>13</v>
      </c>
      <c r="J286">
        <v>2</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892</v>
      </c>
      <c r="B287" s="149"/>
      <c r="C287">
        <v>24</v>
      </c>
      <c r="D287">
        <v>10</v>
      </c>
      <c r="E287">
        <v>24</v>
      </c>
      <c r="F287">
        <v>11</v>
      </c>
      <c r="G287">
        <v>18</v>
      </c>
      <c r="H287">
        <v>8</v>
      </c>
      <c r="I287">
        <v>23</v>
      </c>
      <c r="J287">
        <v>3</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23</v>
      </c>
      <c r="D288">
        <v>8</v>
      </c>
      <c r="E288">
        <v>22</v>
      </c>
      <c r="F288">
        <v>15</v>
      </c>
      <c r="G288">
        <v>20</v>
      </c>
      <c r="H288">
        <v>14</v>
      </c>
      <c r="I288">
        <v>19</v>
      </c>
      <c r="J288">
        <v>5</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897</v>
      </c>
      <c r="B289" s="149"/>
      <c r="C289">
        <v>21.911894273127754</v>
      </c>
      <c r="D289">
        <v>9.8711814501288178</v>
      </c>
      <c r="E289">
        <v>23</v>
      </c>
      <c r="F289">
        <v>8</v>
      </c>
      <c r="G289">
        <v>23</v>
      </c>
      <c r="H289">
        <v>8</v>
      </c>
      <c r="I289">
        <v>30</v>
      </c>
      <c r="J289">
        <v>3</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11</v>
      </c>
      <c r="D290">
        <v>3</v>
      </c>
      <c r="E290">
        <v>11</v>
      </c>
      <c r="F290">
        <v>4</v>
      </c>
      <c r="G290">
        <v>10</v>
      </c>
      <c r="H290">
        <v>4</v>
      </c>
      <c r="I290">
        <v>11</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21</v>
      </c>
      <c r="D291">
        <v>6</v>
      </c>
      <c r="E291">
        <v>17</v>
      </c>
      <c r="F291">
        <v>6</v>
      </c>
      <c r="G291">
        <v>17</v>
      </c>
      <c r="H291">
        <v>3</v>
      </c>
      <c r="I291">
        <v>20</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25</v>
      </c>
      <c r="D292">
        <v>8</v>
      </c>
      <c r="E292">
        <v>24</v>
      </c>
      <c r="F292">
        <v>9</v>
      </c>
      <c r="G292">
        <v>23</v>
      </c>
      <c r="H292">
        <v>8</v>
      </c>
      <c r="I292">
        <v>20</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16</v>
      </c>
      <c r="D293">
        <v>5</v>
      </c>
      <c r="E293">
        <v>13</v>
      </c>
      <c r="F293">
        <v>6</v>
      </c>
      <c r="G293">
        <v>14</v>
      </c>
      <c r="H293">
        <v>8</v>
      </c>
      <c r="I293">
        <v>14</v>
      </c>
      <c r="J293">
        <v>3</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42</v>
      </c>
      <c r="D294">
        <v>15</v>
      </c>
      <c r="E294">
        <v>32</v>
      </c>
      <c r="F294">
        <v>43</v>
      </c>
      <c r="G294">
        <v>27</v>
      </c>
      <c r="H294">
        <v>36</v>
      </c>
      <c r="I294">
        <v>29</v>
      </c>
      <c r="J294">
        <v>12</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17</v>
      </c>
      <c r="D295">
        <v>5</v>
      </c>
      <c r="E295">
        <v>22</v>
      </c>
      <c r="F295">
        <v>6</v>
      </c>
      <c r="G295">
        <v>20</v>
      </c>
      <c r="H295">
        <v>7</v>
      </c>
      <c r="I295">
        <v>15</v>
      </c>
      <c r="J295">
        <v>3</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15</v>
      </c>
      <c r="D296">
        <v>5</v>
      </c>
      <c r="E296">
        <v>17</v>
      </c>
      <c r="F296">
        <v>6</v>
      </c>
      <c r="G296">
        <v>14</v>
      </c>
      <c r="H296">
        <v>4</v>
      </c>
      <c r="I296">
        <v>15</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28</v>
      </c>
      <c r="D297">
        <v>12</v>
      </c>
      <c r="E297">
        <v>33</v>
      </c>
      <c r="F297">
        <v>12</v>
      </c>
      <c r="G297">
        <v>32</v>
      </c>
      <c r="H297">
        <v>7</v>
      </c>
      <c r="I297">
        <v>29</v>
      </c>
      <c r="J297">
        <v>3</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22</v>
      </c>
      <c r="D298">
        <v>15</v>
      </c>
      <c r="E298">
        <v>20</v>
      </c>
      <c r="F298">
        <v>12</v>
      </c>
      <c r="G298">
        <v>17</v>
      </c>
      <c r="H298">
        <v>9</v>
      </c>
      <c r="I298">
        <v>12</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24</v>
      </c>
      <c r="D299">
        <v>6</v>
      </c>
      <c r="E299">
        <v>21</v>
      </c>
      <c r="F299">
        <v>6</v>
      </c>
      <c r="G299">
        <v>21</v>
      </c>
      <c r="H299">
        <v>8</v>
      </c>
      <c r="I299">
        <v>26</v>
      </c>
      <c r="J299">
        <v>3</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19</v>
      </c>
      <c r="D300">
        <v>19</v>
      </c>
      <c r="E300">
        <v>12</v>
      </c>
      <c r="F300">
        <v>16</v>
      </c>
      <c r="G300">
        <v>15</v>
      </c>
      <c r="H300">
        <v>10</v>
      </c>
      <c r="I300">
        <v>16</v>
      </c>
      <c r="J300">
        <v>3</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23</v>
      </c>
      <c r="D301">
        <v>8</v>
      </c>
      <c r="E301">
        <v>21</v>
      </c>
      <c r="F301">
        <v>8</v>
      </c>
      <c r="G301">
        <v>20</v>
      </c>
      <c r="H301">
        <v>22</v>
      </c>
      <c r="I301">
        <v>17</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22</v>
      </c>
      <c r="D302">
        <v>11</v>
      </c>
      <c r="E302">
        <v>24</v>
      </c>
      <c r="F302">
        <v>17</v>
      </c>
      <c r="G302">
        <v>28</v>
      </c>
      <c r="H302">
        <v>9</v>
      </c>
      <c r="I302">
        <v>21</v>
      </c>
      <c r="J302">
        <v>4</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17</v>
      </c>
      <c r="D303">
        <v>5</v>
      </c>
      <c r="E303">
        <v>11</v>
      </c>
      <c r="F303">
        <v>4</v>
      </c>
      <c r="G303">
        <v>14</v>
      </c>
      <c r="H303">
        <v>4</v>
      </c>
      <c r="I303">
        <v>11</v>
      </c>
      <c r="J303">
        <v>2</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9"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889</v>
      </c>
      <c r="I6" s="27" t="s">
        <v>889</v>
      </c>
      <c r="J6" t="s">
        <v>315</v>
      </c>
    </row>
    <row r="7" spans="1:13" ht="14.4">
      <c r="A7" s="22" t="str">
        <f>F7&amp;(COUNTIFS(F$2:F7,F7,K$2:K7,"Sparse"))</f>
        <v>SD1</v>
      </c>
      <c r="B7" s="22" t="str">
        <f>J7&amp;(COUNTIF(J$2:J7,J7))</f>
        <v>Suffolk1</v>
      </c>
      <c r="C7" t="s">
        <v>12</v>
      </c>
      <c r="D7" t="s">
        <v>12</v>
      </c>
      <c r="E7" s="25" t="s">
        <v>368</v>
      </c>
      <c r="F7" s="25" t="s">
        <v>379</v>
      </c>
      <c r="G7" s="25" t="s">
        <v>5</v>
      </c>
      <c r="H7" s="26" t="s">
        <v>888</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889</v>
      </c>
      <c r="I12" s="27" t="s">
        <v>889</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888</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889</v>
      </c>
      <c r="I14" s="27" t="s">
        <v>889</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889</v>
      </c>
      <c r="I15" s="27" t="s">
        <v>889</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889</v>
      </c>
      <c r="I21" s="27" t="s">
        <v>889</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889</v>
      </c>
      <c r="I23" s="27" t="s">
        <v>889</v>
      </c>
      <c r="J23" t="s">
        <v>318</v>
      </c>
      <c r="K23" t="s">
        <v>335</v>
      </c>
    </row>
    <row r="24" spans="1:11" ht="14.4">
      <c r="A24" s="22" t="str">
        <f>F24&amp;(COUNTIFS(F$2:F24,F24,K$2:K24,"Sparse"))</f>
        <v>UA0</v>
      </c>
      <c r="B24" s="22" t="str">
        <f>J24&amp;(COUNTIF(J$2:J24,J24))</f>
        <v>Unitary5</v>
      </c>
      <c r="C24" t="s">
        <v>893</v>
      </c>
      <c r="D24" t="s">
        <v>893</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888</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888</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889</v>
      </c>
      <c r="I30" s="27" t="s">
        <v>889</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889</v>
      </c>
      <c r="I33" s="27" t="s">
        <v>889</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889</v>
      </c>
      <c r="I38" s="27" t="s">
        <v>889</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889</v>
      </c>
      <c r="I45" s="27" t="s">
        <v>889</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888</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889</v>
      </c>
      <c r="I52" s="27" t="s">
        <v>889</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889</v>
      </c>
      <c r="I53" s="27" t="s">
        <v>889</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889</v>
      </c>
      <c r="I54" s="27" t="s">
        <v>889</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888</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889</v>
      </c>
      <c r="I57" s="27" t="s">
        <v>889</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889</v>
      </c>
      <c r="I59" s="27" t="s">
        <v>889</v>
      </c>
      <c r="J59" t="s">
        <v>311</v>
      </c>
    </row>
    <row r="60" spans="1:11" ht="14.4">
      <c r="A60" s="22" t="str">
        <f>F60&amp;(COUNTIFS(F$2:F60,F60,K$2:K60,"Sparse"))</f>
        <v>UA2</v>
      </c>
      <c r="B60" s="22" t="str">
        <f>J60&amp;(COUNTIF(J$2:J60,J60))</f>
        <v>Unitary13</v>
      </c>
      <c r="C60" t="s">
        <v>305</v>
      </c>
      <c r="D60" t="s">
        <v>305</v>
      </c>
      <c r="E60" s="25" t="s">
        <v>1</v>
      </c>
      <c r="F60" s="25" t="s">
        <v>385</v>
      </c>
      <c r="G60" s="25" t="s">
        <v>394</v>
      </c>
      <c r="H60" s="26" t="s">
        <v>888</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888</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896</v>
      </c>
      <c r="D65" t="s">
        <v>896</v>
      </c>
      <c r="E65" s="25" t="s">
        <v>374</v>
      </c>
      <c r="F65" s="25" t="s">
        <v>385</v>
      </c>
      <c r="G65" s="25" t="s">
        <v>394</v>
      </c>
      <c r="H65" s="26" t="s">
        <v>888</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889</v>
      </c>
      <c r="I66" s="27" t="s">
        <v>889</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889</v>
      </c>
      <c r="I70" s="27" t="s">
        <v>889</v>
      </c>
      <c r="J70" t="s">
        <v>307</v>
      </c>
    </row>
    <row r="71" spans="1:11" ht="14.4">
      <c r="A71" s="22" t="str">
        <f>F71&amp;(COUNTIFS(F$2:F71,F71,K$2:K71,"Sparse"))</f>
        <v>SD6</v>
      </c>
      <c r="B71" s="22" t="str">
        <f>J71&amp;(COUNTIF(J$2:J71,J71))</f>
        <v>Derbyshire5</v>
      </c>
      <c r="C71" t="s">
        <v>50</v>
      </c>
      <c r="D71" t="s">
        <v>50</v>
      </c>
      <c r="E71" s="25" t="s">
        <v>366</v>
      </c>
      <c r="F71" s="25" t="s">
        <v>379</v>
      </c>
      <c r="G71" s="25" t="s">
        <v>5</v>
      </c>
      <c r="H71" s="26" t="s">
        <v>888</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889</v>
      </c>
      <c r="I75" s="27" t="s">
        <v>889</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888</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888</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888</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888</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889</v>
      </c>
      <c r="I82" s="27" t="s">
        <v>889</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888</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888</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889</v>
      </c>
      <c r="I85" s="27" t="s">
        <v>889</v>
      </c>
      <c r="J85" t="s">
        <v>327</v>
      </c>
    </row>
    <row r="86" spans="1:11" ht="14.4">
      <c r="A86" s="22" t="str">
        <f>F86&amp;(COUNTIFS(F$2:F86,F86,K$2:K86,"Sparse"))</f>
        <v>SD10</v>
      </c>
      <c r="B86" s="22" t="str">
        <f>J86&amp;(COUNTIF(J$2:J86,J86))</f>
        <v>Suffolk2</v>
      </c>
      <c r="C86" t="s">
        <v>891</v>
      </c>
      <c r="D86" t="s">
        <v>891</v>
      </c>
      <c r="E86" s="25" t="s">
        <v>368</v>
      </c>
      <c r="F86" s="25" t="s">
        <v>379</v>
      </c>
      <c r="G86" s="25" t="s">
        <v>5</v>
      </c>
      <c r="H86" s="26" t="s">
        <v>888</v>
      </c>
      <c r="I86" s="27" t="s">
        <v>888</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889</v>
      </c>
      <c r="I87" s="27" t="s">
        <v>889</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889</v>
      </c>
      <c r="I92" s="27" t="s">
        <v>889</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889</v>
      </c>
      <c r="I95" s="27" t="s">
        <v>889</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888</v>
      </c>
      <c r="I98" s="27" t="s">
        <v>380</v>
      </c>
      <c r="J98" t="s">
        <v>302</v>
      </c>
    </row>
    <row r="99" spans="1:11" ht="14.4">
      <c r="A99" s="22" t="str">
        <f>F99&amp;(COUNTIFS(F$2:F99,F99,K$2:K99,"Sparse"))</f>
        <v>SD10</v>
      </c>
      <c r="B99" s="22" t="str">
        <f>J99&amp;(COUNTIF(J$2:J99,J99))</f>
        <v>Kent5</v>
      </c>
      <c r="C99" t="s">
        <v>887</v>
      </c>
      <c r="D99" t="s">
        <v>887</v>
      </c>
      <c r="E99" s="25" t="s">
        <v>0</v>
      </c>
      <c r="F99" s="25" t="s">
        <v>379</v>
      </c>
      <c r="G99" s="25" t="s">
        <v>5</v>
      </c>
      <c r="H99" s="26" t="s">
        <v>889</v>
      </c>
      <c r="I99" s="27" t="s">
        <v>889</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888</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889</v>
      </c>
      <c r="I105" s="27" t="s">
        <v>889</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889</v>
      </c>
      <c r="I108" s="27" t="s">
        <v>889</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889</v>
      </c>
      <c r="I114" s="27" t="s">
        <v>889</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888</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889</v>
      </c>
      <c r="I119" s="27" t="s">
        <v>889</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888</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888</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888</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888</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888</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888</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888</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889</v>
      </c>
      <c r="I139" s="27" t="s">
        <v>889</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888</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889</v>
      </c>
      <c r="I146" s="27" t="s">
        <v>889</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889</v>
      </c>
      <c r="I147" s="27" t="s">
        <v>889</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889</v>
      </c>
      <c r="I150" s="27" t="s">
        <v>889</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889</v>
      </c>
      <c r="I151" s="27" t="s">
        <v>889</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889</v>
      </c>
      <c r="I153" s="27" t="s">
        <v>889</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889</v>
      </c>
      <c r="I158" s="27" t="s">
        <v>889</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888</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888</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888</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888</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888</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889</v>
      </c>
      <c r="I171" s="27" t="s">
        <v>889</v>
      </c>
      <c r="J171" t="s">
        <v>329</v>
      </c>
    </row>
    <row r="172" spans="1:11" ht="14.4">
      <c r="A172" s="22" t="str">
        <f>F172&amp;(COUNTIFS(F$2:F172,F172,K$2:K172,"Sparse"))</f>
        <v>SD19</v>
      </c>
      <c r="B172" s="22" t="str">
        <f>J172&amp;(COUNTIF(J$2:J172,J172))</f>
        <v>Hampshire9</v>
      </c>
      <c r="C172" t="s">
        <v>106</v>
      </c>
      <c r="D172" t="s">
        <v>106</v>
      </c>
      <c r="E172" s="25" t="s">
        <v>0</v>
      </c>
      <c r="F172" s="25" t="s">
        <v>379</v>
      </c>
      <c r="G172" s="25" t="s">
        <v>5</v>
      </c>
      <c r="H172" s="26" t="s">
        <v>889</v>
      </c>
      <c r="I172" s="27" t="s">
        <v>889</v>
      </c>
      <c r="J172" s="3" t="s">
        <v>313</v>
      </c>
    </row>
    <row r="173" spans="1:11" ht="14.4">
      <c r="A173" s="22" t="str">
        <f>F173&amp;(COUNTIFS(F$2:F173,F173,K$2:K173,"Sparse"))</f>
        <v>SD19</v>
      </c>
      <c r="B173" s="22" t="str">
        <f>J173&amp;(COUNTIF(J$2:J173,J173))</f>
        <v>Nottinghamshire6</v>
      </c>
      <c r="C173" t="s">
        <v>345</v>
      </c>
      <c r="D173" t="s">
        <v>345</v>
      </c>
      <c r="E173" s="25" t="s">
        <v>366</v>
      </c>
      <c r="F173" s="25" t="s">
        <v>379</v>
      </c>
      <c r="G173" s="25" t="s">
        <v>5</v>
      </c>
      <c r="H173" s="26" t="s">
        <v>888</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SD19</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SD20</v>
      </c>
      <c r="B178" s="22" t="str">
        <f>J178&amp;(COUNTIF(J$2:J178,J178))</f>
        <v>Devon5</v>
      </c>
      <c r="C178" t="s">
        <v>108</v>
      </c>
      <c r="D178" t="s">
        <v>108</v>
      </c>
      <c r="E178" s="25" t="s">
        <v>1</v>
      </c>
      <c r="F178" s="25" t="s">
        <v>379</v>
      </c>
      <c r="G178" s="25" t="s">
        <v>5</v>
      </c>
      <c r="H178" s="26" t="s">
        <v>888</v>
      </c>
      <c r="I178" s="27" t="s">
        <v>380</v>
      </c>
      <c r="J178" t="s">
        <v>308</v>
      </c>
      <c r="K178" t="s">
        <v>335</v>
      </c>
    </row>
    <row r="179" spans="1:11" ht="14.4">
      <c r="A179" s="22" t="str">
        <f>F179&amp;(COUNTIFS(F$2:F179,F179,K$2:K179,"Sparse"))</f>
        <v>SD20</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SD20</v>
      </c>
      <c r="B181" s="22" t="str">
        <f>J181&amp;(COUNTIF(J$2:J181,J181))</f>
        <v>Hertfordshire6</v>
      </c>
      <c r="C181" t="s">
        <v>111</v>
      </c>
      <c r="D181" t="s">
        <v>111</v>
      </c>
      <c r="E181" s="25" t="s">
        <v>368</v>
      </c>
      <c r="F181" s="25" t="s">
        <v>379</v>
      </c>
      <c r="G181" s="25" t="s">
        <v>5</v>
      </c>
      <c r="H181" s="26" t="s">
        <v>889</v>
      </c>
      <c r="I181" s="27" t="s">
        <v>889</v>
      </c>
      <c r="J181" t="s">
        <v>314</v>
      </c>
    </row>
    <row r="182" spans="1:11" ht="14.4">
      <c r="A182" s="22" t="str">
        <f>F182&amp;(COUNTIFS(F$2:F182,F182,K$2:K182,"Sparse"))</f>
        <v>SD21</v>
      </c>
      <c r="B182" s="22" t="str">
        <f>J182&amp;(COUNTIF(J$2:J182,J182))</f>
        <v>Lincolnshire5</v>
      </c>
      <c r="C182" t="s">
        <v>112</v>
      </c>
      <c r="D182" t="s">
        <v>112</v>
      </c>
      <c r="E182" s="25" t="s">
        <v>366</v>
      </c>
      <c r="F182" s="25" t="s">
        <v>379</v>
      </c>
      <c r="G182" s="25" t="s">
        <v>5</v>
      </c>
      <c r="H182" s="26" t="s">
        <v>888</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889</v>
      </c>
      <c r="I183" s="27" t="s">
        <v>889</v>
      </c>
      <c r="J183" s="3" t="s">
        <v>394</v>
      </c>
      <c r="K183" t="s">
        <v>335</v>
      </c>
    </row>
    <row r="184" spans="1:11" ht="14.4">
      <c r="A184" s="22" t="str">
        <f>F184&amp;(COUNTIFS(F$2:F184,F184,K$2:K184,"Sparse"))</f>
        <v>SD22</v>
      </c>
      <c r="B184" s="22" t="str">
        <f>J184&amp;(COUNTIF(J$2:J184,J184))</f>
        <v>Norfolk6</v>
      </c>
      <c r="C184" t="s">
        <v>113</v>
      </c>
      <c r="D184" t="s">
        <v>113</v>
      </c>
      <c r="E184" s="25" t="s">
        <v>368</v>
      </c>
      <c r="F184" s="25" t="s">
        <v>379</v>
      </c>
      <c r="G184" s="25" t="s">
        <v>5</v>
      </c>
      <c r="H184" s="26" t="s">
        <v>888</v>
      </c>
      <c r="I184" s="27" t="s">
        <v>380</v>
      </c>
      <c r="J184" t="s">
        <v>319</v>
      </c>
      <c r="K184" t="s">
        <v>335</v>
      </c>
    </row>
    <row r="185" spans="1:11" ht="14.4">
      <c r="A185" s="22" t="str">
        <f>F185&amp;(COUNTIFS(F$2:F185,F185,K$2:K185,"Sparse"))</f>
        <v>UA8</v>
      </c>
      <c r="B185" s="22" t="str">
        <f>J185&amp;(COUNTIF(J$2:J185,J185))</f>
        <v>Unitary32</v>
      </c>
      <c r="C185" t="s">
        <v>894</v>
      </c>
      <c r="D185" t="s">
        <v>894</v>
      </c>
      <c r="E185" s="25" t="s">
        <v>366</v>
      </c>
      <c r="F185" s="25" t="s">
        <v>385</v>
      </c>
      <c r="G185" s="25" t="s">
        <v>394</v>
      </c>
      <c r="H185" s="26" t="s">
        <v>889</v>
      </c>
      <c r="I185" s="27" t="s">
        <v>889</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889</v>
      </c>
      <c r="I186" s="27" t="s">
        <v>889</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SD22</v>
      </c>
      <c r="B188" s="22" t="str">
        <f>J188&amp;(COUNTIF(J$2:J188,J188))</f>
        <v>Warwickshire1</v>
      </c>
      <c r="C188" t="s">
        <v>114</v>
      </c>
      <c r="D188" t="s">
        <v>114</v>
      </c>
      <c r="E188" s="25" t="s">
        <v>367</v>
      </c>
      <c r="F188" s="25" t="s">
        <v>379</v>
      </c>
      <c r="G188" s="25" t="s">
        <v>5</v>
      </c>
      <c r="H188" s="26" t="s">
        <v>888</v>
      </c>
      <c r="I188" s="27" t="s">
        <v>380</v>
      </c>
      <c r="J188" s="3" t="s">
        <v>330</v>
      </c>
    </row>
    <row r="189" spans="1:11" ht="14.4">
      <c r="A189" s="22" t="str">
        <f>F189&amp;(COUNTIFS(F$2:F189,F189,K$2:K189,"Sparse"))</f>
        <v>SD22</v>
      </c>
      <c r="B189" s="22" t="str">
        <f>J189&amp;(COUNTIF(J$2:J189,J189))</f>
        <v>Leicestershire7</v>
      </c>
      <c r="C189" t="s">
        <v>115</v>
      </c>
      <c r="D189" t="s">
        <v>115</v>
      </c>
      <c r="E189" s="25" t="s">
        <v>366</v>
      </c>
      <c r="F189" s="25" t="s">
        <v>379</v>
      </c>
      <c r="G189" s="25" t="s">
        <v>5</v>
      </c>
      <c r="H189" s="26" t="s">
        <v>888</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888</v>
      </c>
      <c r="I191" s="27" t="s">
        <v>380</v>
      </c>
      <c r="J191" t="s">
        <v>394</v>
      </c>
      <c r="K191" t="s">
        <v>335</v>
      </c>
    </row>
    <row r="192" spans="1:11" ht="14.4">
      <c r="A192" s="22" t="str">
        <f>F192&amp;(COUNTIFS(F$2:F192,F192,K$2:K192,"Sparse"))</f>
        <v>SD22</v>
      </c>
      <c r="B192" s="22" t="str">
        <f>J192&amp;(COUNTIF(J$2:J192,J192))</f>
        <v>Norfolk7</v>
      </c>
      <c r="C192" s="27" t="s">
        <v>117</v>
      </c>
      <c r="D192" s="27" t="s">
        <v>117</v>
      </c>
      <c r="E192" s="25" t="s">
        <v>368</v>
      </c>
      <c r="F192" s="25" t="s">
        <v>379</v>
      </c>
      <c r="G192" s="25" t="s">
        <v>5</v>
      </c>
      <c r="H192" s="27" t="s">
        <v>382</v>
      </c>
      <c r="I192" s="27" t="s">
        <v>382</v>
      </c>
      <c r="J192" t="s">
        <v>319</v>
      </c>
    </row>
    <row r="193" spans="1:10"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0" ht="14.4">
      <c r="A194" s="22" t="str">
        <f>F194&amp;(COUNTIFS(F$2:F194,F194,K$2:K194,"Sparse"))</f>
        <v>SC5</v>
      </c>
      <c r="B194" s="22" t="str">
        <f>J194&amp;(COUNTIF(J$2:J194,J194))</f>
        <v>Nottinghamshire7</v>
      </c>
      <c r="C194" s="27" t="s">
        <v>323</v>
      </c>
      <c r="D194" s="27" t="s">
        <v>323</v>
      </c>
      <c r="E194" s="25" t="s">
        <v>366</v>
      </c>
      <c r="F194" s="25" t="s">
        <v>387</v>
      </c>
      <c r="G194" s="25" t="s">
        <v>301</v>
      </c>
      <c r="H194" s="27" t="s">
        <v>889</v>
      </c>
      <c r="I194" s="27" t="s">
        <v>889</v>
      </c>
      <c r="J194" t="s">
        <v>323</v>
      </c>
    </row>
    <row r="195" spans="1:10" ht="14.4">
      <c r="A195" s="22" t="str">
        <f>F195&amp;(COUNTIFS(F$2:F195,F195,K$2:K195,"Sparse"))</f>
        <v>SD22</v>
      </c>
      <c r="B195" s="22" t="str">
        <f>J195&amp;(COUNTIF(J$2:J195,J195))</f>
        <v>Warwickshire2</v>
      </c>
      <c r="C195" t="s">
        <v>346</v>
      </c>
      <c r="D195" t="s">
        <v>346</v>
      </c>
      <c r="E195" s="25" t="s">
        <v>367</v>
      </c>
      <c r="F195" s="25" t="s">
        <v>379</v>
      </c>
      <c r="G195" s="25" t="s">
        <v>5</v>
      </c>
      <c r="H195" s="26" t="s">
        <v>382</v>
      </c>
      <c r="I195" s="27" t="s">
        <v>382</v>
      </c>
      <c r="J195" s="3" t="s">
        <v>330</v>
      </c>
    </row>
    <row r="196" spans="1:10" ht="14.4">
      <c r="A196" s="22" t="str">
        <f>F196&amp;(COUNTIFS(F$2:F196,F196,K$2:K196,"Sparse"))</f>
        <v>SD22</v>
      </c>
      <c r="B196" s="22" t="str">
        <f>J196&amp;(COUNTIF(J$2:J196,J196))</f>
        <v>Leicestershire8</v>
      </c>
      <c r="C196" t="s">
        <v>347</v>
      </c>
      <c r="D196" t="s">
        <v>347</v>
      </c>
      <c r="E196" s="25" t="s">
        <v>366</v>
      </c>
      <c r="F196" s="25" t="s">
        <v>379</v>
      </c>
      <c r="G196" s="25" t="s">
        <v>5</v>
      </c>
      <c r="H196" s="26" t="s">
        <v>382</v>
      </c>
      <c r="I196" s="27" t="s">
        <v>382</v>
      </c>
      <c r="J196" t="s">
        <v>317</v>
      </c>
    </row>
    <row r="197" spans="1:10"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0" ht="14.4">
      <c r="A198" s="22" t="str">
        <f>F198&amp;(COUNTIFS(F$2:F198,F198,K$2:K198,"Sparse"))</f>
        <v>SD22</v>
      </c>
      <c r="B198" s="22" t="str">
        <f>J198&amp;(COUNTIF(J$2:J198,J198))</f>
        <v>Oxfordshire2</v>
      </c>
      <c r="C198" s="27" t="s">
        <v>118</v>
      </c>
      <c r="D198" s="27" t="s">
        <v>118</v>
      </c>
      <c r="E198" s="25" t="s">
        <v>0</v>
      </c>
      <c r="F198" s="25" t="s">
        <v>379</v>
      </c>
      <c r="G198" s="25" t="s">
        <v>5</v>
      </c>
      <c r="H198" s="27" t="s">
        <v>382</v>
      </c>
      <c r="I198" s="27" t="s">
        <v>382</v>
      </c>
      <c r="J198" t="s">
        <v>324</v>
      </c>
    </row>
    <row r="199" spans="1:10" ht="14.4">
      <c r="A199" s="22" t="str">
        <f>F199&amp;(COUNTIFS(F$2:F199,F199,K$2:K199,"Sparse"))</f>
        <v>SC5</v>
      </c>
      <c r="B199" s="22" t="str">
        <f>J199&amp;(COUNTIF(J$2:J199,J199))</f>
        <v>Oxfordshire3</v>
      </c>
      <c r="C199" t="s">
        <v>324</v>
      </c>
      <c r="D199" t="s">
        <v>324</v>
      </c>
      <c r="E199" s="25" t="s">
        <v>0</v>
      </c>
      <c r="F199" s="25" t="s">
        <v>387</v>
      </c>
      <c r="G199" s="25" t="s">
        <v>301</v>
      </c>
      <c r="H199" s="26" t="s">
        <v>380</v>
      </c>
      <c r="I199" s="27" t="s">
        <v>380</v>
      </c>
      <c r="J199" t="s">
        <v>324</v>
      </c>
    </row>
    <row r="200" spans="1:10" ht="14.4">
      <c r="A200" s="22" t="str">
        <f>F200&amp;(COUNTIFS(F$2:F200,F200,K$2:K200,"Sparse"))</f>
        <v>SD22</v>
      </c>
      <c r="B200" s="22" t="str">
        <f>J200&amp;(COUNTIF(J$2:J200,J200))</f>
        <v>Lancashire7</v>
      </c>
      <c r="C200" t="s">
        <v>119</v>
      </c>
      <c r="D200" t="s">
        <v>119</v>
      </c>
      <c r="E200" s="25" t="s">
        <v>374</v>
      </c>
      <c r="F200" s="25" t="s">
        <v>379</v>
      </c>
      <c r="G200" s="25" t="s">
        <v>5</v>
      </c>
      <c r="H200" s="26" t="s">
        <v>382</v>
      </c>
      <c r="I200" s="27" t="s">
        <v>382</v>
      </c>
      <c r="J200" t="s">
        <v>316</v>
      </c>
    </row>
    <row r="201" spans="1:10"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0"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0"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0" ht="14.4">
      <c r="A204" s="22" t="str">
        <f>F204&amp;(COUNTIFS(F$2:F204,F204,K$2:K204,"Sparse"))</f>
        <v>SD22</v>
      </c>
      <c r="B204" s="22" t="str">
        <f>J204&amp;(COUNTIF(J$2:J204,J204))</f>
        <v>Lancashire8</v>
      </c>
      <c r="C204" t="s">
        <v>120</v>
      </c>
      <c r="D204" t="s">
        <v>120</v>
      </c>
      <c r="E204" s="25" t="s">
        <v>374</v>
      </c>
      <c r="F204" s="25" t="s">
        <v>379</v>
      </c>
      <c r="G204" s="25" t="s">
        <v>5</v>
      </c>
      <c r="H204" s="26" t="s">
        <v>382</v>
      </c>
      <c r="I204" s="27" t="s">
        <v>382</v>
      </c>
      <c r="J204" t="s">
        <v>316</v>
      </c>
    </row>
    <row r="205" spans="1:10"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0"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0" ht="14.4">
      <c r="A207" s="22" t="str">
        <f>F207&amp;(COUNTIFS(F$2:F207,F207,K$2:K207,"Sparse"))</f>
        <v>UA11</v>
      </c>
      <c r="B207" s="22" t="str">
        <f>J207&amp;(COUNTIF(J$2:J207,J207))</f>
        <v>Unitary41</v>
      </c>
      <c r="C207" t="s">
        <v>808</v>
      </c>
      <c r="D207" t="s">
        <v>808</v>
      </c>
      <c r="E207" s="25" t="s">
        <v>388</v>
      </c>
      <c r="F207" s="25" t="s">
        <v>385</v>
      </c>
      <c r="G207" s="25" t="s">
        <v>394</v>
      </c>
      <c r="H207" s="26" t="s">
        <v>889</v>
      </c>
      <c r="I207" s="27" t="s">
        <v>889</v>
      </c>
      <c r="J207" s="3" t="s">
        <v>394</v>
      </c>
    </row>
    <row r="208" spans="1:10" ht="14.4">
      <c r="A208" s="22" t="str">
        <f>F208&amp;(COUNTIFS(F$2:F208,F208,K$2:K208,"Sparse"))</f>
        <v>SD22</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SD22</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SD23</v>
      </c>
      <c r="B210" s="22" t="str">
        <f>J210&amp;(COUNTIF(J$2:J210,J210))</f>
        <v>Lancashire9</v>
      </c>
      <c r="C210" t="s">
        <v>123</v>
      </c>
      <c r="D210" t="s">
        <v>123</v>
      </c>
      <c r="E210" s="25" t="s">
        <v>374</v>
      </c>
      <c r="F210" s="25" t="s">
        <v>379</v>
      </c>
      <c r="G210" s="25" t="s">
        <v>5</v>
      </c>
      <c r="H210" s="26" t="s">
        <v>888</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SD23</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SD23</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SD24</v>
      </c>
      <c r="B215" s="22" t="str">
        <f>J215&amp;(COUNTIF(J$2:J215,J215))</f>
        <v>East Sussex5</v>
      </c>
      <c r="C215" t="s">
        <v>127</v>
      </c>
      <c r="D215" t="s">
        <v>127</v>
      </c>
      <c r="E215" s="25" t="s">
        <v>0</v>
      </c>
      <c r="F215" s="25" t="s">
        <v>379</v>
      </c>
      <c r="G215" s="25" t="s">
        <v>5</v>
      </c>
      <c r="H215" s="26" t="s">
        <v>888</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SD25</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SD25</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SD25</v>
      </c>
      <c r="B219" s="22" t="str">
        <f>J219&amp;(COUNTIF(J$2:J219,J219))</f>
        <v>Nottinghamshire8</v>
      </c>
      <c r="C219" t="s">
        <v>130</v>
      </c>
      <c r="D219" t="s">
        <v>130</v>
      </c>
      <c r="E219" s="25" t="s">
        <v>366</v>
      </c>
      <c r="F219" s="25" t="s">
        <v>379</v>
      </c>
      <c r="G219" s="25" t="s">
        <v>5</v>
      </c>
      <c r="H219" s="26" t="s">
        <v>888</v>
      </c>
      <c r="I219" s="27" t="s">
        <v>380</v>
      </c>
      <c r="J219" t="s">
        <v>323</v>
      </c>
    </row>
    <row r="220" spans="1:11" ht="14.4">
      <c r="A220" s="22" t="str">
        <f>F220&amp;(COUNTIFS(F$2:F220,F220,K$2:K220,"Sparse"))</f>
        <v>SD25</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888</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SD25</v>
      </c>
      <c r="B225" s="22" t="str">
        <f>J225&amp;(COUNTIF(J$2:J225,J225))</f>
        <v>Kent9</v>
      </c>
      <c r="C225" t="s">
        <v>136</v>
      </c>
      <c r="D225" t="s">
        <v>136</v>
      </c>
      <c r="E225" s="25" t="s">
        <v>0</v>
      </c>
      <c r="F225" s="25" t="s">
        <v>379</v>
      </c>
      <c r="G225" s="25" t="s">
        <v>5</v>
      </c>
      <c r="H225" s="26" t="s">
        <v>888</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888</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SD26</v>
      </c>
      <c r="B231" s="22" t="str">
        <f>J231&amp;(COUNTIF(J$2:J231,J231))</f>
        <v>Cambridgeshire6</v>
      </c>
      <c r="C231" t="s">
        <v>138</v>
      </c>
      <c r="D231" t="s">
        <v>138</v>
      </c>
      <c r="E231" s="25" t="s">
        <v>368</v>
      </c>
      <c r="F231" s="25" t="s">
        <v>379</v>
      </c>
      <c r="G231" s="25" t="s">
        <v>5</v>
      </c>
      <c r="H231" s="26" t="s">
        <v>888</v>
      </c>
      <c r="I231" s="27" t="s">
        <v>380</v>
      </c>
      <c r="J231" s="3" t="s">
        <v>302</v>
      </c>
      <c r="K231" t="s">
        <v>335</v>
      </c>
    </row>
    <row r="232" spans="1:11" ht="14.4">
      <c r="A232" s="22" t="str">
        <f>F232&amp;(COUNTIFS(F$2:F232,F232,K$2:K232,"Sparse"))</f>
        <v>SD26</v>
      </c>
      <c r="B232" s="22" t="str">
        <f>J232&amp;(COUNTIF(J$2:J232,J232))</f>
        <v>Derbyshire9</v>
      </c>
      <c r="C232" t="s">
        <v>139</v>
      </c>
      <c r="D232" t="s">
        <v>139</v>
      </c>
      <c r="E232" s="25" t="s">
        <v>366</v>
      </c>
      <c r="F232" s="25" t="s">
        <v>379</v>
      </c>
      <c r="G232" s="25" t="s">
        <v>5</v>
      </c>
      <c r="H232" s="26" t="s">
        <v>889</v>
      </c>
      <c r="I232" s="27" t="s">
        <v>889</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SD27</v>
      </c>
      <c r="B234" s="22" t="str">
        <f>J234&amp;(COUNTIF(J$2:J234,J234))</f>
        <v>Devon6</v>
      </c>
      <c r="C234" s="27" t="s">
        <v>140</v>
      </c>
      <c r="D234" s="27" t="s">
        <v>140</v>
      </c>
      <c r="E234" s="25" t="s">
        <v>1</v>
      </c>
      <c r="F234" s="25" t="s">
        <v>379</v>
      </c>
      <c r="G234" s="25" t="s">
        <v>5</v>
      </c>
      <c r="H234" s="27" t="s">
        <v>888</v>
      </c>
      <c r="I234" s="27" t="s">
        <v>380</v>
      </c>
      <c r="J234" t="s">
        <v>308</v>
      </c>
      <c r="K234" t="s">
        <v>335</v>
      </c>
    </row>
    <row r="235" spans="1:11" ht="14.4">
      <c r="A235" s="22" t="str">
        <f>F235&amp;(COUNTIFS(F$2:F235,F235,K$2:K235,"Sparse"))</f>
        <v>SD28</v>
      </c>
      <c r="B235" s="22" t="str">
        <f>J235&amp;(COUNTIF(J$2:J235,J235))</f>
        <v>Lincolnshire6</v>
      </c>
      <c r="C235" t="s">
        <v>141</v>
      </c>
      <c r="D235" t="s">
        <v>141</v>
      </c>
      <c r="E235" s="25" t="s">
        <v>366</v>
      </c>
      <c r="F235" s="25" t="s">
        <v>379</v>
      </c>
      <c r="G235" s="25" t="s">
        <v>5</v>
      </c>
      <c r="H235" s="26" t="s">
        <v>888</v>
      </c>
      <c r="I235" s="27" t="s">
        <v>380</v>
      </c>
      <c r="J235" t="s">
        <v>318</v>
      </c>
      <c r="K235" t="s">
        <v>335</v>
      </c>
    </row>
    <row r="236" spans="1:11" ht="14.4">
      <c r="A236" s="22" t="str">
        <f>F236&amp;(COUNTIFS(F$2:F236,F236,K$2:K236,"Sparse"))</f>
        <v>SD29</v>
      </c>
      <c r="B236" s="22" t="str">
        <f>J236&amp;(COUNTIF(J$2:J236,J236))</f>
        <v>Lincolnshire7</v>
      </c>
      <c r="C236" t="s">
        <v>142</v>
      </c>
      <c r="D236" t="s">
        <v>142</v>
      </c>
      <c r="E236" s="25" t="s">
        <v>366</v>
      </c>
      <c r="F236" s="25" t="s">
        <v>379</v>
      </c>
      <c r="G236" s="25" t="s">
        <v>5</v>
      </c>
      <c r="H236" s="26" t="s">
        <v>888</v>
      </c>
      <c r="I236" s="27" t="s">
        <v>380</v>
      </c>
      <c r="J236" t="s">
        <v>318</v>
      </c>
      <c r="K236" t="s">
        <v>335</v>
      </c>
    </row>
    <row r="237" spans="1:11" ht="14.4">
      <c r="A237" s="22" t="str">
        <f>F237&amp;(COUNTIFS(F$2:F237,F237,K$2:K237,"Sparse"))</f>
        <v>SD29</v>
      </c>
      <c r="B237" s="22" t="str">
        <f>J237&amp;(COUNTIF(J$2:J237,J237))</f>
        <v>Norfolk8</v>
      </c>
      <c r="C237" t="s">
        <v>144</v>
      </c>
      <c r="D237" t="s">
        <v>144</v>
      </c>
      <c r="E237" s="25" t="s">
        <v>368</v>
      </c>
      <c r="F237" s="25" t="s">
        <v>379</v>
      </c>
      <c r="G237" s="25" t="s">
        <v>5</v>
      </c>
      <c r="H237" s="26" t="s">
        <v>888</v>
      </c>
      <c r="I237" s="27" t="s">
        <v>380</v>
      </c>
      <c r="J237" s="3" t="s">
        <v>319</v>
      </c>
    </row>
    <row r="238" spans="1:11" ht="14.4">
      <c r="A238" s="22" t="str">
        <f>F238&amp;(COUNTIFS(F$2:F238,F238,K$2:K238,"Sparse"))</f>
        <v>SD30</v>
      </c>
      <c r="B238" s="22" t="str">
        <f>J238&amp;(COUNTIF(J$2:J238,J238))</f>
        <v>Oxfordshire4</v>
      </c>
      <c r="C238" t="s">
        <v>146</v>
      </c>
      <c r="D238" t="s">
        <v>146</v>
      </c>
      <c r="E238" s="25" t="s">
        <v>0</v>
      </c>
      <c r="F238" s="25" t="s">
        <v>379</v>
      </c>
      <c r="G238" s="25" t="s">
        <v>5</v>
      </c>
      <c r="H238" s="26" t="s">
        <v>888</v>
      </c>
      <c r="I238" s="27" t="s">
        <v>380</v>
      </c>
      <c r="J238" t="s">
        <v>324</v>
      </c>
      <c r="K238" t="s">
        <v>335</v>
      </c>
    </row>
    <row r="239" spans="1:11" ht="14.4">
      <c r="A239" s="22" t="str">
        <f>F239&amp;(COUNTIFS(F$2:F239,F239,K$2:K239,"Sparse"))</f>
        <v>SD30</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SD30</v>
      </c>
      <c r="B240" s="22" t="str">
        <f>J240&amp;(COUNTIF(J$2:J240,J240))</f>
        <v>Staffordshire5</v>
      </c>
      <c r="C240" t="s">
        <v>149</v>
      </c>
      <c r="D240" t="s">
        <v>149</v>
      </c>
      <c r="E240" s="25" t="s">
        <v>367</v>
      </c>
      <c r="F240" s="25" t="s">
        <v>379</v>
      </c>
      <c r="G240" s="25" t="s">
        <v>5</v>
      </c>
      <c r="H240" s="26" t="s">
        <v>889</v>
      </c>
      <c r="I240" s="27" t="s">
        <v>889</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SD30</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SD30</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SD31</v>
      </c>
      <c r="B248" s="22" t="str">
        <f>J248&amp;(COUNTIF(J$2:J248,J248))</f>
        <v>Staffordshire6</v>
      </c>
      <c r="C248" t="s">
        <v>153</v>
      </c>
      <c r="D248" t="s">
        <v>153</v>
      </c>
      <c r="E248" s="25" t="s">
        <v>367</v>
      </c>
      <c r="F248" s="25" t="s">
        <v>379</v>
      </c>
      <c r="G248" s="25" t="s">
        <v>5</v>
      </c>
      <c r="H248" s="26" t="s">
        <v>889</v>
      </c>
      <c r="I248" s="27" t="s">
        <v>889</v>
      </c>
      <c r="J248" s="3" t="s">
        <v>327</v>
      </c>
      <c r="K248" t="s">
        <v>335</v>
      </c>
    </row>
    <row r="249" spans="1:11" ht="14.4">
      <c r="A249" s="22" t="str">
        <f>F249&amp;(COUNTIFS(F$2:F249,F249,K$2:K249,"Sparse"))</f>
        <v>SC6</v>
      </c>
      <c r="B249" s="22" t="str">
        <f>J249&amp;(COUNTIF(J$2:J249,J249))</f>
        <v>Staffordshire7</v>
      </c>
      <c r="C249" t="s">
        <v>327</v>
      </c>
      <c r="D249" t="s">
        <v>327</v>
      </c>
      <c r="E249" s="25" t="s">
        <v>367</v>
      </c>
      <c r="F249" s="25" t="s">
        <v>387</v>
      </c>
      <c r="G249" s="25" t="s">
        <v>301</v>
      </c>
      <c r="H249" s="26" t="s">
        <v>889</v>
      </c>
      <c r="I249" s="27" t="s">
        <v>889</v>
      </c>
      <c r="J249" s="3" t="s">
        <v>327</v>
      </c>
      <c r="K249" t="s">
        <v>335</v>
      </c>
    </row>
    <row r="250" spans="1:11" ht="14.4">
      <c r="A250" s="22" t="str">
        <f>F250&amp;(COUNTIFS(F$2:F250,F250,K$2:K250,"Sparse"))</f>
        <v>SD31</v>
      </c>
      <c r="B250" s="22" t="str">
        <f>J250&amp;(COUNTIF(J$2:J250,J250))</f>
        <v>Staffordshire8</v>
      </c>
      <c r="C250" t="s">
        <v>154</v>
      </c>
      <c r="D250" t="s">
        <v>154</v>
      </c>
      <c r="E250" s="25" t="s">
        <v>367</v>
      </c>
      <c r="F250" s="25" t="s">
        <v>379</v>
      </c>
      <c r="G250" s="25" t="s">
        <v>5</v>
      </c>
      <c r="H250" s="26" t="s">
        <v>888</v>
      </c>
      <c r="I250" s="27" t="s">
        <v>380</v>
      </c>
      <c r="J250" t="s">
        <v>327</v>
      </c>
    </row>
    <row r="251" spans="1:11" ht="14.4">
      <c r="A251" s="22" t="str">
        <f>F251&amp;(COUNTIFS(F$2:F251,F251,K$2:K251,"Sparse"))</f>
        <v>SD31</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SD32</v>
      </c>
      <c r="B255" s="22" t="str">
        <f>J255&amp;(COUNTIF(J$2:J255,J255))</f>
        <v>Warwickshire4</v>
      </c>
      <c r="C255" s="27" t="s">
        <v>156</v>
      </c>
      <c r="D255" s="27" t="s">
        <v>156</v>
      </c>
      <c r="E255" s="25" t="s">
        <v>367</v>
      </c>
      <c r="F255" s="25" t="s">
        <v>379</v>
      </c>
      <c r="G255" s="25" t="s">
        <v>5</v>
      </c>
      <c r="H255" s="27" t="s">
        <v>888</v>
      </c>
      <c r="I255" s="27" t="s">
        <v>380</v>
      </c>
      <c r="J255" t="s">
        <v>330</v>
      </c>
      <c r="K255" t="s">
        <v>335</v>
      </c>
    </row>
    <row r="256" spans="1:11" ht="14.4">
      <c r="A256" s="22" t="str">
        <f>F256&amp;(COUNTIFS(F$2:F256,F256,K$2:K256,"Sparse"))</f>
        <v>SD33</v>
      </c>
      <c r="B256" s="22" t="str">
        <f>J256&amp;(COUNTIF(J$2:J256,J256))</f>
        <v>Gloucestershire6</v>
      </c>
      <c r="C256" t="s">
        <v>157</v>
      </c>
      <c r="D256" t="s">
        <v>157</v>
      </c>
      <c r="E256" s="25" t="s">
        <v>1</v>
      </c>
      <c r="F256" s="25" t="s">
        <v>379</v>
      </c>
      <c r="G256" s="25" t="s">
        <v>5</v>
      </c>
      <c r="H256" s="26" t="s">
        <v>889</v>
      </c>
      <c r="I256" s="27" t="s">
        <v>889</v>
      </c>
      <c r="J256" t="s">
        <v>312</v>
      </c>
      <c r="K256" t="s">
        <v>335</v>
      </c>
    </row>
    <row r="257" spans="1:11" ht="14.4">
      <c r="A257" s="22" t="str">
        <f>F257&amp;(COUNTIFS(F$2:F257,F257,K$2:K257,"Sparse"))</f>
        <v>SC7</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SC7</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SD33</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SD33</v>
      </c>
      <c r="B262" s="22" t="str">
        <f>J262&amp;(COUNTIF(J$2:J262,J262))</f>
        <v>Kent10</v>
      </c>
      <c r="C262" t="s">
        <v>160</v>
      </c>
      <c r="D262" t="s">
        <v>160</v>
      </c>
      <c r="E262" s="25" t="s">
        <v>0</v>
      </c>
      <c r="F262" s="25" t="s">
        <v>379</v>
      </c>
      <c r="G262" s="25" t="s">
        <v>5</v>
      </c>
      <c r="H262" s="26" t="s">
        <v>888</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SD33</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SD33</v>
      </c>
      <c r="B266" s="22" t="str">
        <f>J266&amp;(COUNTIF(J$2:J266,J266))</f>
        <v>Surrey10</v>
      </c>
      <c r="C266" t="s">
        <v>162</v>
      </c>
      <c r="D266" t="s">
        <v>162</v>
      </c>
      <c r="E266" s="25" t="s">
        <v>0</v>
      </c>
      <c r="F266" s="25" t="s">
        <v>379</v>
      </c>
      <c r="G266" s="25" t="s">
        <v>5</v>
      </c>
      <c r="H266" s="26" t="s">
        <v>889</v>
      </c>
      <c r="I266" s="27" t="s">
        <v>889</v>
      </c>
      <c r="J266" t="s">
        <v>329</v>
      </c>
    </row>
    <row r="267" spans="1:11" ht="14.4">
      <c r="A267" s="22" t="str">
        <f>F267&amp;(COUNTIFS(F$2:F267,F267,K$2:K267,"Sparse"))</f>
        <v>SD34</v>
      </c>
      <c r="B267" s="22" t="str">
        <f>J267&amp;(COUNTIF(J$2:J267,J267))</f>
        <v>Devon7</v>
      </c>
      <c r="C267" t="s">
        <v>164</v>
      </c>
      <c r="D267" t="s">
        <v>164</v>
      </c>
      <c r="E267" s="25" t="s">
        <v>1</v>
      </c>
      <c r="F267" s="25" t="s">
        <v>379</v>
      </c>
      <c r="G267" s="25" t="s">
        <v>5</v>
      </c>
      <c r="H267" s="26" t="s">
        <v>888</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SD34</v>
      </c>
      <c r="B269" s="22" t="str">
        <f>J269&amp;(COUNTIF(J$2:J269,J269))</f>
        <v>Essex12</v>
      </c>
      <c r="C269" t="s">
        <v>165</v>
      </c>
      <c r="D269" t="s">
        <v>165</v>
      </c>
      <c r="E269" s="25" t="s">
        <v>368</v>
      </c>
      <c r="F269" s="25" t="s">
        <v>379</v>
      </c>
      <c r="G269" s="25" t="s">
        <v>5</v>
      </c>
      <c r="H269" s="26" t="s">
        <v>888</v>
      </c>
      <c r="I269" s="27" t="s">
        <v>380</v>
      </c>
      <c r="J269" s="3" t="s">
        <v>311</v>
      </c>
    </row>
    <row r="270" spans="1:11" ht="14.4">
      <c r="A270" s="22" t="str">
        <f>F270&amp;(COUNTIFS(F$2:F270,F270,K$2:K270,"Sparse"))</f>
        <v>SD34</v>
      </c>
      <c r="B270" s="22" t="str">
        <f>J270&amp;(COUNTIF(J$2:J270,J270))</f>
        <v>Hampshire11</v>
      </c>
      <c r="C270" t="s">
        <v>166</v>
      </c>
      <c r="D270" t="s">
        <v>166</v>
      </c>
      <c r="E270" s="25" t="s">
        <v>0</v>
      </c>
      <c r="F270" s="25" t="s">
        <v>379</v>
      </c>
      <c r="G270" s="25" t="s">
        <v>5</v>
      </c>
      <c r="H270" s="26" t="s">
        <v>889</v>
      </c>
      <c r="I270" s="27" t="s">
        <v>889</v>
      </c>
      <c r="J270" t="s">
        <v>313</v>
      </c>
    </row>
    <row r="271" spans="1:11" ht="14.4">
      <c r="A271" s="22" t="str">
        <f>F271&amp;(COUNTIFS(F$2:F271,F271,K$2:K271,"Sparse"))</f>
        <v>SD35</v>
      </c>
      <c r="B271" s="22" t="str">
        <f>J271&amp;(COUNTIF(J$2:J271,J271))</f>
        <v>Gloucestershire7</v>
      </c>
      <c r="C271" t="s">
        <v>167</v>
      </c>
      <c r="D271" t="s">
        <v>167</v>
      </c>
      <c r="E271" s="25" t="s">
        <v>1</v>
      </c>
      <c r="F271" s="25" t="s">
        <v>379</v>
      </c>
      <c r="G271" s="25" t="s">
        <v>5</v>
      </c>
      <c r="H271" s="26" t="s">
        <v>888</v>
      </c>
      <c r="I271" s="27" t="s">
        <v>380</v>
      </c>
      <c r="J271" t="s">
        <v>312</v>
      </c>
      <c r="K271" t="s">
        <v>335</v>
      </c>
    </row>
    <row r="272" spans="1:11" ht="14.4">
      <c r="A272" s="22" t="str">
        <f>F272&amp;(COUNTIFS(F$2:F272,F272,K$2:K272,"Sparse"))</f>
        <v>SD35</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SD35</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SD35</v>
      </c>
      <c r="B275" s="22" t="str">
        <f>J275&amp;(COUNTIF(J$2:J275,J275))</f>
        <v>Kent12</v>
      </c>
      <c r="C275" t="s">
        <v>349</v>
      </c>
      <c r="D275" t="s">
        <v>349</v>
      </c>
      <c r="E275" s="25" t="s">
        <v>0</v>
      </c>
      <c r="F275" s="25" t="s">
        <v>379</v>
      </c>
      <c r="G275" s="25" t="s">
        <v>5</v>
      </c>
      <c r="H275" s="26" t="s">
        <v>889</v>
      </c>
      <c r="I275" s="27" t="s">
        <v>889</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SD36</v>
      </c>
      <c r="B277" s="22" t="str">
        <f>J277&amp;(COUNTIF(J$2:J277,J277))</f>
        <v>Devon8</v>
      </c>
      <c r="C277" t="s">
        <v>170</v>
      </c>
      <c r="D277" t="s">
        <v>170</v>
      </c>
      <c r="E277" s="25" t="s">
        <v>1</v>
      </c>
      <c r="F277" s="25" t="s">
        <v>379</v>
      </c>
      <c r="G277" s="25" t="s">
        <v>5</v>
      </c>
      <c r="H277" s="26" t="s">
        <v>888</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SD36</v>
      </c>
      <c r="B280" s="22" t="str">
        <f>J280&amp;(COUNTIF(J$2:J280,J280))</f>
        <v>Kent13</v>
      </c>
      <c r="C280" t="s">
        <v>171</v>
      </c>
      <c r="D280" t="s">
        <v>171</v>
      </c>
      <c r="E280" s="25" t="s">
        <v>0</v>
      </c>
      <c r="F280" s="25" t="s">
        <v>379</v>
      </c>
      <c r="G280" s="25" t="s">
        <v>5</v>
      </c>
      <c r="H280" s="26" t="s">
        <v>889</v>
      </c>
      <c r="I280" s="27" t="s">
        <v>889</v>
      </c>
      <c r="J280" s="3" t="s">
        <v>315</v>
      </c>
    </row>
    <row r="281" spans="1:11" ht="14.4">
      <c r="A281" s="22" t="str">
        <f>F281&amp;(COUNTIFS(F$2:F281,F281,K$2:K281,"Sparse"))</f>
        <v>SD37</v>
      </c>
      <c r="B281" s="22" t="str">
        <f>J281&amp;(COUNTIF(J$2:J281,J281))</f>
        <v>Essex13</v>
      </c>
      <c r="C281" t="s">
        <v>172</v>
      </c>
      <c r="D281" t="s">
        <v>172</v>
      </c>
      <c r="E281" s="25" t="s">
        <v>368</v>
      </c>
      <c r="F281" s="25" t="s">
        <v>379</v>
      </c>
      <c r="G281" s="25" t="s">
        <v>5</v>
      </c>
      <c r="H281" s="26" t="s">
        <v>888</v>
      </c>
      <c r="I281" s="27" t="s">
        <v>380</v>
      </c>
      <c r="J281" t="s">
        <v>311</v>
      </c>
      <c r="K281" t="s">
        <v>335</v>
      </c>
    </row>
    <row r="282" spans="1:11" ht="14.4">
      <c r="A282" s="22" t="str">
        <f>F282&amp;(COUNTIFS(F$2:F282,F282,K$2:K282,"Sparse"))</f>
        <v>SD38</v>
      </c>
      <c r="B282" s="22" t="str">
        <f>J282&amp;(COUNTIF(J$2:J282,J282))</f>
        <v>Oxfordshire5</v>
      </c>
      <c r="C282" t="s">
        <v>173</v>
      </c>
      <c r="D282" t="s">
        <v>173</v>
      </c>
      <c r="E282" s="25" t="s">
        <v>0</v>
      </c>
      <c r="F282" s="25" t="s">
        <v>379</v>
      </c>
      <c r="G282" s="25" t="s">
        <v>5</v>
      </c>
      <c r="H282" s="26" t="s">
        <v>888</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SD38</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SC7</v>
      </c>
      <c r="B289" s="22" t="str">
        <f>J289&amp;(COUNTIF(J$2:J289,J289))</f>
        <v>Warwickshire6</v>
      </c>
      <c r="C289" t="s">
        <v>330</v>
      </c>
      <c r="D289" t="s">
        <v>330</v>
      </c>
      <c r="E289" s="25" t="s">
        <v>367</v>
      </c>
      <c r="F289" s="25" t="s">
        <v>387</v>
      </c>
      <c r="G289" s="25" t="s">
        <v>301</v>
      </c>
      <c r="H289" s="26" t="s">
        <v>889</v>
      </c>
      <c r="I289" s="27" t="s">
        <v>889</v>
      </c>
      <c r="J289" t="s">
        <v>330</v>
      </c>
    </row>
    <row r="290" spans="1:11" ht="14.4">
      <c r="A290" s="22" t="str">
        <f>F290&amp;(COUNTIFS(F$2:F290,F290,K$2:K290,"Sparse"))</f>
        <v>SD38</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SD38</v>
      </c>
      <c r="B291" s="22" t="str">
        <f>J291&amp;(COUNTIF(J$2:J291,J291))</f>
        <v>Surrey11</v>
      </c>
      <c r="C291" t="s">
        <v>177</v>
      </c>
      <c r="D291" t="s">
        <v>177</v>
      </c>
      <c r="E291" s="25" t="s">
        <v>0</v>
      </c>
      <c r="F291" s="25" t="s">
        <v>379</v>
      </c>
      <c r="G291" s="25" t="s">
        <v>5</v>
      </c>
      <c r="H291" s="26" t="s">
        <v>888</v>
      </c>
      <c r="I291" s="27" t="s">
        <v>380</v>
      </c>
      <c r="J291" t="s">
        <v>329</v>
      </c>
    </row>
    <row r="292" spans="1:11" ht="14.4">
      <c r="A292" s="22" t="str">
        <f>F292&amp;(COUNTIFS(F$2:F292,F292,K$2:K292,"Sparse"))</f>
        <v>SD39</v>
      </c>
      <c r="B292" s="22" t="str">
        <f>J292&amp;(COUNTIF(J$2:J292,J292))</f>
        <v>East Sussex6</v>
      </c>
      <c r="C292" t="s">
        <v>178</v>
      </c>
      <c r="D292" t="s">
        <v>178</v>
      </c>
      <c r="E292" s="25" t="s">
        <v>0</v>
      </c>
      <c r="F292" s="25" t="s">
        <v>379</v>
      </c>
      <c r="G292" s="25" t="s">
        <v>5</v>
      </c>
      <c r="H292" s="26" t="s">
        <v>888</v>
      </c>
      <c r="I292" s="27" t="s">
        <v>380</v>
      </c>
      <c r="J292" t="s">
        <v>310</v>
      </c>
      <c r="K292" t="s">
        <v>335</v>
      </c>
    </row>
    <row r="293" spans="1:11" ht="14.4">
      <c r="A293" s="22" t="str">
        <f>F293&amp;(COUNTIFS(F$2:F293,F293,K$2:K293,"Sparse"))</f>
        <v>SD39</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889</v>
      </c>
      <c r="I294" s="27" t="s">
        <v>889</v>
      </c>
      <c r="J294" t="s">
        <v>394</v>
      </c>
    </row>
    <row r="295" spans="1:11" ht="14.4">
      <c r="A295" s="22" t="str">
        <f>F295&amp;(COUNTIFS(F$2:F295,F295,K$2:K295,"Sparse"))</f>
        <v>SD40</v>
      </c>
      <c r="B295" s="22" t="str">
        <f>J295&amp;(COUNTIF(J$2:J295,J295))</f>
        <v>Devon9</v>
      </c>
      <c r="C295" s="27" t="s">
        <v>181</v>
      </c>
      <c r="D295" s="27" t="s">
        <v>181</v>
      </c>
      <c r="E295" s="25" t="s">
        <v>1</v>
      </c>
      <c r="F295" s="25" t="s">
        <v>379</v>
      </c>
      <c r="G295" s="25" t="s">
        <v>5</v>
      </c>
      <c r="H295" s="27" t="s">
        <v>888</v>
      </c>
      <c r="I295" s="27" t="s">
        <v>380</v>
      </c>
      <c r="J295" t="s">
        <v>308</v>
      </c>
      <c r="K295" t="s">
        <v>335</v>
      </c>
    </row>
    <row r="296" spans="1:11" ht="14.4">
      <c r="A296" s="22" t="str">
        <f>F296&amp;(COUNTIFS(F$2:F296,F296,K$2:K296,"Sparse"))</f>
        <v>SD40</v>
      </c>
      <c r="B296" s="22" t="str">
        <f>J296&amp;(COUNTIF(J$2:J296,J296))</f>
        <v>Lancashire12</v>
      </c>
      <c r="C296" t="s">
        <v>183</v>
      </c>
      <c r="D296" t="s">
        <v>183</v>
      </c>
      <c r="E296" s="25" t="s">
        <v>374</v>
      </c>
      <c r="F296" s="25" t="s">
        <v>379</v>
      </c>
      <c r="G296" s="25" t="s">
        <v>5</v>
      </c>
      <c r="H296" s="26" t="s">
        <v>889</v>
      </c>
      <c r="I296" s="27" t="s">
        <v>889</v>
      </c>
      <c r="J296" t="s">
        <v>316</v>
      </c>
    </row>
    <row r="297" spans="1:11" ht="14.4">
      <c r="A297" s="22" t="str">
        <f>F297&amp;(COUNTIFS(F$2:F297,F297,K$2:K297,"Sparse"))</f>
        <v>SD41</v>
      </c>
      <c r="B297" s="22" t="str">
        <f>J297&amp;(COUNTIF(J$2:J297,J297))</f>
        <v>Lincolnshire8</v>
      </c>
      <c r="C297" t="s">
        <v>184</v>
      </c>
      <c r="D297" t="s">
        <v>184</v>
      </c>
      <c r="E297" s="25" t="s">
        <v>366</v>
      </c>
      <c r="F297" s="25" t="s">
        <v>379</v>
      </c>
      <c r="G297" s="25" t="s">
        <v>5</v>
      </c>
      <c r="H297" s="26" t="s">
        <v>888</v>
      </c>
      <c r="I297" s="27" t="s">
        <v>380</v>
      </c>
      <c r="J297" t="s">
        <v>318</v>
      </c>
      <c r="K297" t="s">
        <v>335</v>
      </c>
    </row>
    <row r="298" spans="1:11" ht="14.4">
      <c r="A298" s="22" t="str">
        <f>F298&amp;(COUNTIFS(F$2:F298,F298,K$2:K298,"Sparse"))</f>
        <v>UA14</v>
      </c>
      <c r="B298" s="22" t="str">
        <f>J298&amp;(COUNTIF(J$2:J298,J298))</f>
        <v>Unitary57</v>
      </c>
      <c r="C298" t="s">
        <v>895</v>
      </c>
      <c r="D298" t="s">
        <v>895</v>
      </c>
      <c r="E298" s="25" t="s">
        <v>366</v>
      </c>
      <c r="F298" s="25" t="s">
        <v>385</v>
      </c>
      <c r="G298" s="25" t="s">
        <v>394</v>
      </c>
      <c r="H298" s="26" t="s">
        <v>889</v>
      </c>
      <c r="I298" s="27" t="s">
        <v>889</v>
      </c>
      <c r="J298" t="s">
        <v>394</v>
      </c>
      <c r="K298" t="s">
        <v>335</v>
      </c>
    </row>
    <row r="299" spans="1:11" ht="14.4">
      <c r="A299" s="22" t="str">
        <f>F299&amp;(COUNTIFS(F$2:F299,F299,K$2:K299,"Sparse"))</f>
        <v>SD42</v>
      </c>
      <c r="B299" s="22" t="str">
        <f>J299&amp;(COUNTIF(J$2:J299,J299))</f>
        <v>Oxfordshire6</v>
      </c>
      <c r="C299" t="s">
        <v>185</v>
      </c>
      <c r="D299" t="s">
        <v>185</v>
      </c>
      <c r="E299" s="25" t="s">
        <v>0</v>
      </c>
      <c r="F299" s="25" t="s">
        <v>379</v>
      </c>
      <c r="G299" s="25" t="s">
        <v>5</v>
      </c>
      <c r="H299" s="26" t="s">
        <v>888</v>
      </c>
      <c r="I299" s="27" t="s">
        <v>380</v>
      </c>
      <c r="J299" t="s">
        <v>324</v>
      </c>
      <c r="K299" t="s">
        <v>335</v>
      </c>
    </row>
    <row r="300" spans="1:11" ht="14.4">
      <c r="A300" s="22" t="str">
        <f>F300&amp;(COUNTIFS(F$2:F300,F300,K$2:K300,"Sparse"))</f>
        <v>SD43</v>
      </c>
      <c r="B300" s="22" t="str">
        <f>J300&amp;(COUNTIF(J$2:J300,J300))</f>
        <v>Suffolk6</v>
      </c>
      <c r="C300" t="s">
        <v>892</v>
      </c>
      <c r="D300" t="s">
        <v>892</v>
      </c>
      <c r="E300" s="25" t="s">
        <v>368</v>
      </c>
      <c r="F300" s="25" t="s">
        <v>379</v>
      </c>
      <c r="G300" s="25" t="s">
        <v>5</v>
      </c>
      <c r="H300" s="26" t="s">
        <v>888</v>
      </c>
      <c r="I300" s="27" t="s">
        <v>380</v>
      </c>
      <c r="J300" t="s">
        <v>328</v>
      </c>
      <c r="K300" t="s">
        <v>335</v>
      </c>
    </row>
    <row r="301" spans="1:11" ht="14.4">
      <c r="A301" s="22" t="str">
        <f>F301&amp;(COUNTIFS(F$2:F301,F301,K$2:K301,"Sparse"))</f>
        <v>SC7</v>
      </c>
      <c r="B301" s="22" t="str">
        <f>J301&amp;(COUNTIF(J$2:J301,J301))</f>
        <v>West Sussex7</v>
      </c>
      <c r="C301" t="s">
        <v>331</v>
      </c>
      <c r="D301" t="s">
        <v>331</v>
      </c>
      <c r="E301" s="25" t="s">
        <v>0</v>
      </c>
      <c r="F301" s="25" t="s">
        <v>387</v>
      </c>
      <c r="G301" s="25" t="s">
        <v>301</v>
      </c>
      <c r="H301" s="26" t="s">
        <v>889</v>
      </c>
      <c r="I301" s="27" t="s">
        <v>889</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897</v>
      </c>
      <c r="D303" t="s">
        <v>897</v>
      </c>
      <c r="E303" s="25" t="s">
        <v>374</v>
      </c>
      <c r="F303" s="25" t="s">
        <v>385</v>
      </c>
      <c r="G303" s="25" t="s">
        <v>394</v>
      </c>
      <c r="H303" s="26" t="s">
        <v>888</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888</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888</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889</v>
      </c>
      <c r="I313" s="27" t="s">
        <v>889</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888</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888</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889</v>
      </c>
      <c r="I317" s="27" t="s">
        <v>889</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2FCCA5D3-E67A-4BB9-B313-D4BF7424E4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2024-10-14T11:24:33Z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